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Juridiske forhold\Juridiske emner\Entrepriseret\"/>
    </mc:Choice>
  </mc:AlternateContent>
  <bookViews>
    <workbookView xWindow="-15" yWindow="7290" windowWidth="23055" windowHeight="1770"/>
  </bookViews>
  <sheets>
    <sheet name="Ark1" sheetId="1" r:id="rId1"/>
    <sheet name="Ark2" sheetId="2" r:id="rId2"/>
    <sheet name="Ark3" sheetId="3" r:id="rId3"/>
  </sheets>
  <calcPr calcId="162913"/>
</workbook>
</file>

<file path=xl/calcChain.xml><?xml version="1.0" encoding="utf-8"?>
<calcChain xmlns="http://schemas.openxmlformats.org/spreadsheetml/2006/main">
  <c r="G54" i="1" l="1"/>
  <c r="G78" i="1" l="1"/>
  <c r="G156" i="1"/>
  <c r="G155" i="1"/>
  <c r="G154" i="1"/>
  <c r="G152" i="1"/>
  <c r="G151" i="1"/>
  <c r="G150" i="1"/>
  <c r="G148" i="1"/>
  <c r="G147" i="1"/>
  <c r="G146" i="1"/>
  <c r="G144" i="1"/>
  <c r="G143" i="1"/>
  <c r="G142" i="1"/>
  <c r="G140" i="1"/>
  <c r="G139" i="1"/>
  <c r="G138" i="1"/>
  <c r="G136" i="1"/>
  <c r="G135" i="1"/>
  <c r="G134" i="1"/>
  <c r="G132" i="1"/>
  <c r="G131" i="1"/>
  <c r="G130" i="1"/>
  <c r="G128" i="1"/>
  <c r="G127" i="1"/>
  <c r="G126" i="1"/>
  <c r="G124" i="1"/>
  <c r="G123" i="1"/>
  <c r="G122" i="1"/>
  <c r="G120" i="1"/>
  <c r="G119" i="1"/>
  <c r="G118" i="1"/>
  <c r="G116" i="1"/>
  <c r="G115" i="1"/>
  <c r="G114" i="1"/>
  <c r="G112" i="1"/>
  <c r="G111" i="1"/>
  <c r="G110" i="1"/>
  <c r="G108" i="1"/>
  <c r="G107" i="1"/>
  <c r="G106" i="1"/>
  <c r="G104" i="1"/>
  <c r="G103" i="1"/>
  <c r="G102" i="1"/>
  <c r="G100" i="1"/>
  <c r="G99" i="1"/>
  <c r="G98" i="1"/>
  <c r="G96" i="1"/>
  <c r="G95" i="1"/>
  <c r="G94" i="1"/>
  <c r="G92" i="1"/>
  <c r="G91" i="1"/>
  <c r="G90" i="1"/>
  <c r="G88" i="1"/>
  <c r="G87" i="1"/>
  <c r="G86" i="1"/>
  <c r="G84" i="1"/>
  <c r="G83" i="1"/>
  <c r="G82" i="1"/>
  <c r="G80" i="1"/>
  <c r="G79" i="1"/>
  <c r="G76" i="1"/>
  <c r="G75" i="1"/>
  <c r="G74" i="1"/>
  <c r="G72" i="1"/>
  <c r="G71" i="1"/>
  <c r="G70" i="1"/>
  <c r="G68" i="1"/>
  <c r="G67" i="1"/>
  <c r="G66" i="1"/>
  <c r="G64" i="1"/>
  <c r="G63" i="1"/>
  <c r="G62" i="1"/>
  <c r="G60" i="1"/>
  <c r="G59" i="1"/>
  <c r="G58" i="1"/>
  <c r="G56" i="1"/>
  <c r="G55" i="1"/>
  <c r="G52" i="1"/>
  <c r="G51" i="1"/>
  <c r="G50" i="1"/>
  <c r="G48" i="1"/>
  <c r="G47" i="1"/>
  <c r="G46" i="1"/>
  <c r="G44" i="1"/>
  <c r="G43" i="1"/>
  <c r="G42" i="1"/>
  <c r="G40" i="1"/>
  <c r="G39" i="1"/>
  <c r="G38" i="1"/>
  <c r="J157" i="1" l="1"/>
  <c r="Q1" i="1" l="1"/>
  <c r="G14" i="1" l="1"/>
  <c r="P37" i="1" s="1"/>
  <c r="P69" i="1" l="1"/>
  <c r="P43" i="1"/>
  <c r="P62" i="1"/>
  <c r="Q62" i="1" s="1"/>
  <c r="R62" i="1" s="1"/>
  <c r="P55" i="1"/>
  <c r="P46" i="1"/>
  <c r="P54" i="1"/>
  <c r="Q54" i="1" s="1"/>
  <c r="R54" i="1" s="1"/>
  <c r="P39" i="1"/>
  <c r="Q39" i="1" s="1"/>
  <c r="R39" i="1" s="1"/>
  <c r="P47" i="1"/>
  <c r="P70" i="1"/>
  <c r="Q70" i="1" s="1"/>
  <c r="R70" i="1" s="1"/>
  <c r="P38" i="1"/>
  <c r="P71" i="1"/>
  <c r="Q71" i="1" s="1"/>
  <c r="R71" i="1" s="1"/>
  <c r="P42" i="1"/>
  <c r="P44" i="1"/>
  <c r="P56" i="1"/>
  <c r="P50" i="1"/>
  <c r="Q50" i="1" s="1"/>
  <c r="R50" i="1" s="1"/>
  <c r="P72" i="1"/>
  <c r="P45" i="1"/>
  <c r="P57" i="1"/>
  <c r="P48" i="1"/>
  <c r="P52" i="1"/>
  <c r="P64" i="1"/>
  <c r="Q64" i="1" s="1"/>
  <c r="R64" i="1" s="1"/>
  <c r="P58" i="1"/>
  <c r="Q58" i="1" s="1"/>
  <c r="R58" i="1" s="1"/>
  <c r="P60" i="1"/>
  <c r="P66" i="1"/>
  <c r="Q66" i="1" s="1"/>
  <c r="R66" i="1" s="1"/>
  <c r="P40" i="1"/>
  <c r="Q40" i="1" s="1"/>
  <c r="R40" i="1" s="1"/>
  <c r="P41" i="1"/>
  <c r="Q41" i="1" s="1"/>
  <c r="R41" i="1" s="1"/>
  <c r="P59" i="1"/>
  <c r="Q59" i="1" s="1"/>
  <c r="R59" i="1" s="1"/>
  <c r="P65" i="1"/>
  <c r="Q65" i="1" s="1"/>
  <c r="R65" i="1" s="1"/>
  <c r="P51" i="1"/>
  <c r="P49" i="1"/>
  <c r="Q49" i="1" s="1"/>
  <c r="R49" i="1" s="1"/>
  <c r="P53" i="1"/>
  <c r="Q53" i="1" s="1"/>
  <c r="R53" i="1" s="1"/>
  <c r="P67" i="1"/>
  <c r="Q67" i="1" s="1"/>
  <c r="R67" i="1" s="1"/>
  <c r="P68" i="1"/>
  <c r="Q68" i="1" s="1"/>
  <c r="R68" i="1" s="1"/>
  <c r="P63" i="1"/>
  <c r="Q63" i="1" s="1"/>
  <c r="R63" i="1" s="1"/>
  <c r="P61" i="1"/>
  <c r="Q46" i="1" l="1"/>
  <c r="R46" i="1" s="1"/>
  <c r="Q52" i="1"/>
  <c r="R52" i="1"/>
  <c r="Q42" i="1"/>
  <c r="R42" i="1" s="1"/>
  <c r="Q55" i="1"/>
  <c r="R55" i="1" s="1"/>
  <c r="Q51" i="1"/>
  <c r="R51" i="1" s="1"/>
  <c r="Q44" i="1"/>
  <c r="R44" i="1"/>
  <c r="Q48" i="1"/>
  <c r="R48" i="1" s="1"/>
  <c r="Q47" i="1"/>
  <c r="R47" i="1"/>
  <c r="Q56" i="1"/>
  <c r="R56" i="1" s="1"/>
  <c r="Q57" i="1"/>
  <c r="R57" i="1" s="1"/>
  <c r="Q38" i="1"/>
  <c r="R38" i="1" s="1"/>
  <c r="Q43" i="1"/>
  <c r="R43" i="1" s="1"/>
  <c r="Q72" i="1"/>
  <c r="R72" i="1" s="1"/>
  <c r="Q60" i="1"/>
  <c r="R60" i="1"/>
  <c r="Q61" i="1"/>
  <c r="R61" i="1" s="1"/>
  <c r="Q45" i="1"/>
  <c r="R45" i="1" s="1"/>
  <c r="Q69" i="1"/>
  <c r="R69" i="1" s="1"/>
  <c r="G12" i="1"/>
  <c r="S45" i="1" l="1"/>
  <c r="T45" i="1" s="1"/>
  <c r="U45" i="1" s="1"/>
  <c r="S40" i="1"/>
  <c r="T40" i="1" s="1"/>
  <c r="U40" i="1" s="1"/>
  <c r="S70" i="1"/>
  <c r="T70" i="1" s="1"/>
  <c r="U70" i="1" s="1"/>
  <c r="S57" i="1"/>
  <c r="T57" i="1" s="1"/>
  <c r="U57" i="1" s="1"/>
  <c r="S61" i="1"/>
  <c r="T61" i="1" s="1"/>
  <c r="U61" i="1" s="1"/>
  <c r="S47" i="1"/>
  <c r="T47" i="1" s="1"/>
  <c r="U47" i="1" s="1"/>
  <c r="S71" i="1"/>
  <c r="T71" i="1" s="1"/>
  <c r="U71" i="1" s="1"/>
  <c r="S69" i="1"/>
  <c r="T69" i="1" s="1"/>
  <c r="U69" i="1" s="1"/>
  <c r="S42" i="1"/>
  <c r="T42" i="1" s="1"/>
  <c r="U42" i="1" s="1"/>
  <c r="S60" i="1"/>
  <c r="T60" i="1" s="1"/>
  <c r="U60" i="1" s="1"/>
  <c r="S63" i="1"/>
  <c r="T63" i="1" s="1"/>
  <c r="U63" i="1" s="1"/>
  <c r="S38" i="1"/>
  <c r="T38" i="1" s="1"/>
  <c r="U38" i="1" s="1"/>
  <c r="S44" i="1"/>
  <c r="T44" i="1" s="1"/>
  <c r="U44" i="1" s="1"/>
  <c r="S66" i="1"/>
  <c r="T66" i="1" s="1"/>
  <c r="U66" i="1" s="1"/>
  <c r="S68" i="1"/>
  <c r="T68" i="1" s="1"/>
  <c r="U68" i="1" s="1"/>
  <c r="S64" i="1"/>
  <c r="T64" i="1" s="1"/>
  <c r="U64" i="1" s="1"/>
  <c r="S58" i="1"/>
  <c r="T58" i="1" s="1"/>
  <c r="U58" i="1" s="1"/>
  <c r="S59" i="1"/>
  <c r="T59" i="1" s="1"/>
  <c r="U59" i="1" s="1"/>
  <c r="S46" i="1"/>
  <c r="T46" i="1" s="1"/>
  <c r="U46" i="1" s="1"/>
  <c r="S54" i="1"/>
  <c r="T54" i="1" s="1"/>
  <c r="U54" i="1" s="1"/>
  <c r="S41" i="1"/>
  <c r="T41" i="1" s="1"/>
  <c r="U41" i="1" s="1"/>
  <c r="S67" i="1"/>
  <c r="T67" i="1" s="1"/>
  <c r="U67" i="1" s="1"/>
  <c r="S55" i="1"/>
  <c r="T55" i="1" s="1"/>
  <c r="U55" i="1" s="1"/>
  <c r="S65" i="1"/>
  <c r="T65" i="1" s="1"/>
  <c r="U65" i="1" s="1"/>
  <c r="S48" i="1"/>
  <c r="T48" i="1" s="1"/>
  <c r="U48" i="1" s="1"/>
  <c r="S39" i="1"/>
  <c r="T39" i="1" s="1"/>
  <c r="U39" i="1" s="1"/>
  <c r="S62" i="1"/>
  <c r="T62" i="1" s="1"/>
  <c r="U62" i="1" s="1"/>
  <c r="S56" i="1"/>
  <c r="T56" i="1" s="1"/>
  <c r="U56" i="1" s="1"/>
  <c r="S53" i="1"/>
  <c r="T53" i="1" s="1"/>
  <c r="U53" i="1" s="1"/>
  <c r="S50" i="1"/>
  <c r="T50" i="1" s="1"/>
  <c r="U50" i="1" s="1"/>
  <c r="S51" i="1"/>
  <c r="T51" i="1" s="1"/>
  <c r="U51" i="1" s="1"/>
  <c r="S52" i="1"/>
  <c r="T52" i="1" s="1"/>
  <c r="U52" i="1" s="1"/>
  <c r="S72" i="1"/>
  <c r="T72" i="1" s="1"/>
  <c r="U72" i="1" s="1"/>
  <c r="S43" i="1"/>
  <c r="T43" i="1" s="1"/>
  <c r="U43" i="1" s="1"/>
  <c r="S49" i="1"/>
  <c r="T49" i="1" s="1"/>
  <c r="U49" i="1" s="1"/>
  <c r="L1" i="1"/>
  <c r="A28" i="1" s="1"/>
  <c r="D20" i="1"/>
  <c r="U73" i="1" l="1"/>
  <c r="G15" i="1" s="1"/>
  <c r="M1" i="1"/>
  <c r="P1" i="1"/>
  <c r="I40" i="1" l="1"/>
  <c r="J40" i="1" s="1"/>
  <c r="I48" i="1"/>
  <c r="J48" i="1" s="1"/>
  <c r="I56" i="1"/>
  <c r="J56" i="1" s="1"/>
  <c r="I64" i="1"/>
  <c r="J64" i="1" s="1"/>
  <c r="I72" i="1"/>
  <c r="J72" i="1" s="1"/>
  <c r="I80" i="1"/>
  <c r="J80" i="1" s="1"/>
  <c r="I88" i="1"/>
  <c r="J88" i="1" s="1"/>
  <c r="I96" i="1"/>
  <c r="J96" i="1" s="1"/>
  <c r="I104" i="1"/>
  <c r="J104" i="1" s="1"/>
  <c r="I112" i="1"/>
  <c r="J112" i="1" s="1"/>
  <c r="I120" i="1"/>
  <c r="J120" i="1" s="1"/>
  <c r="I128" i="1"/>
  <c r="J128" i="1" s="1"/>
  <c r="I136" i="1"/>
  <c r="J136" i="1" s="1"/>
  <c r="I144" i="1"/>
  <c r="J144" i="1" s="1"/>
  <c r="I152" i="1"/>
  <c r="J152" i="1" s="1"/>
  <c r="I138" i="1"/>
  <c r="J138" i="1" s="1"/>
  <c r="I154" i="1"/>
  <c r="J154" i="1" s="1"/>
  <c r="I52" i="1"/>
  <c r="J52" i="1" s="1"/>
  <c r="I92" i="1"/>
  <c r="J92" i="1" s="1"/>
  <c r="I124" i="1"/>
  <c r="J124" i="1" s="1"/>
  <c r="I45" i="1"/>
  <c r="J45" i="1" s="1"/>
  <c r="I77" i="1"/>
  <c r="J77" i="1" s="1"/>
  <c r="I117" i="1"/>
  <c r="J117" i="1" s="1"/>
  <c r="I149" i="1"/>
  <c r="J149" i="1" s="1"/>
  <c r="I54" i="1"/>
  <c r="J54" i="1" s="1"/>
  <c r="I86" i="1"/>
  <c r="J86" i="1" s="1"/>
  <c r="I126" i="1"/>
  <c r="J126" i="1" s="1"/>
  <c r="I55" i="1"/>
  <c r="J55" i="1" s="1"/>
  <c r="I87" i="1"/>
  <c r="J87" i="1" s="1"/>
  <c r="I135" i="1"/>
  <c r="J135" i="1" s="1"/>
  <c r="I41" i="1"/>
  <c r="J41" i="1" s="1"/>
  <c r="I49" i="1"/>
  <c r="J49" i="1" s="1"/>
  <c r="I57" i="1"/>
  <c r="J57" i="1" s="1"/>
  <c r="I65" i="1"/>
  <c r="J65" i="1" s="1"/>
  <c r="I73" i="1"/>
  <c r="J73" i="1" s="1"/>
  <c r="I81" i="1"/>
  <c r="J81" i="1" s="1"/>
  <c r="I89" i="1"/>
  <c r="J89" i="1" s="1"/>
  <c r="I97" i="1"/>
  <c r="J97" i="1" s="1"/>
  <c r="I105" i="1"/>
  <c r="J105" i="1" s="1"/>
  <c r="I113" i="1"/>
  <c r="J113" i="1" s="1"/>
  <c r="I121" i="1"/>
  <c r="J121" i="1" s="1"/>
  <c r="I129" i="1"/>
  <c r="J129" i="1" s="1"/>
  <c r="I137" i="1"/>
  <c r="J137" i="1" s="1"/>
  <c r="I145" i="1"/>
  <c r="J145" i="1" s="1"/>
  <c r="I153" i="1"/>
  <c r="J153" i="1" s="1"/>
  <c r="I122" i="1"/>
  <c r="J122" i="1" s="1"/>
  <c r="I146" i="1"/>
  <c r="J146" i="1" s="1"/>
  <c r="I147" i="1"/>
  <c r="J147" i="1" s="1"/>
  <c r="I76" i="1"/>
  <c r="J76" i="1" s="1"/>
  <c r="I140" i="1"/>
  <c r="J140" i="1" s="1"/>
  <c r="I69" i="1"/>
  <c r="J69" i="1" s="1"/>
  <c r="I109" i="1"/>
  <c r="J109" i="1" s="1"/>
  <c r="I141" i="1"/>
  <c r="J141" i="1" s="1"/>
  <c r="I38" i="1"/>
  <c r="I78" i="1"/>
  <c r="J78" i="1" s="1"/>
  <c r="I110" i="1"/>
  <c r="J110" i="1" s="1"/>
  <c r="I142" i="1"/>
  <c r="J142" i="1" s="1"/>
  <c r="I63" i="1"/>
  <c r="J63" i="1" s="1"/>
  <c r="I95" i="1"/>
  <c r="J95" i="1" s="1"/>
  <c r="I127" i="1"/>
  <c r="J127" i="1" s="1"/>
  <c r="I42" i="1"/>
  <c r="J42" i="1" s="1"/>
  <c r="I50" i="1"/>
  <c r="J50" i="1" s="1"/>
  <c r="I58" i="1"/>
  <c r="J58" i="1" s="1"/>
  <c r="I66" i="1"/>
  <c r="J66" i="1" s="1"/>
  <c r="I74" i="1"/>
  <c r="I82" i="1"/>
  <c r="J82" i="1" s="1"/>
  <c r="I90" i="1"/>
  <c r="J90" i="1" s="1"/>
  <c r="I98" i="1"/>
  <c r="J98" i="1" s="1"/>
  <c r="I106" i="1"/>
  <c r="J106" i="1" s="1"/>
  <c r="I114" i="1"/>
  <c r="J114" i="1" s="1"/>
  <c r="I130" i="1"/>
  <c r="J130" i="1" s="1"/>
  <c r="I60" i="1"/>
  <c r="J60" i="1" s="1"/>
  <c r="I156" i="1"/>
  <c r="J156" i="1" s="1"/>
  <c r="I101" i="1"/>
  <c r="J101" i="1" s="1"/>
  <c r="I46" i="1"/>
  <c r="J46" i="1" s="1"/>
  <c r="I94" i="1"/>
  <c r="J94" i="1" s="1"/>
  <c r="I150" i="1"/>
  <c r="J150" i="1" s="1"/>
  <c r="I71" i="1"/>
  <c r="J71" i="1" s="1"/>
  <c r="I111" i="1"/>
  <c r="J111" i="1" s="1"/>
  <c r="I143" i="1"/>
  <c r="J143" i="1" s="1"/>
  <c r="I43" i="1"/>
  <c r="J43" i="1" s="1"/>
  <c r="I51" i="1"/>
  <c r="J51" i="1" s="1"/>
  <c r="I59" i="1"/>
  <c r="J59" i="1" s="1"/>
  <c r="I67" i="1"/>
  <c r="J67" i="1" s="1"/>
  <c r="I75" i="1"/>
  <c r="J75" i="1" s="1"/>
  <c r="I83" i="1"/>
  <c r="J83" i="1" s="1"/>
  <c r="I91" i="1"/>
  <c r="J91" i="1" s="1"/>
  <c r="I99" i="1"/>
  <c r="J99" i="1" s="1"/>
  <c r="I107" i="1"/>
  <c r="J107" i="1" s="1"/>
  <c r="I115" i="1"/>
  <c r="J115" i="1" s="1"/>
  <c r="I123" i="1"/>
  <c r="J123" i="1" s="1"/>
  <c r="I131" i="1"/>
  <c r="J131" i="1" s="1"/>
  <c r="I139" i="1"/>
  <c r="J139" i="1" s="1"/>
  <c r="I155" i="1"/>
  <c r="J155" i="1" s="1"/>
  <c r="I84" i="1"/>
  <c r="J84" i="1" s="1"/>
  <c r="I108" i="1"/>
  <c r="J108" i="1" s="1"/>
  <c r="I116" i="1"/>
  <c r="J116" i="1" s="1"/>
  <c r="I148" i="1"/>
  <c r="J148" i="1" s="1"/>
  <c r="I61" i="1"/>
  <c r="J61" i="1" s="1"/>
  <c r="I93" i="1"/>
  <c r="J93" i="1" s="1"/>
  <c r="I133" i="1"/>
  <c r="J133" i="1" s="1"/>
  <c r="I62" i="1"/>
  <c r="J62" i="1" s="1"/>
  <c r="I102" i="1"/>
  <c r="J102" i="1" s="1"/>
  <c r="I134" i="1"/>
  <c r="J134" i="1" s="1"/>
  <c r="I39" i="1"/>
  <c r="J39" i="1" s="1"/>
  <c r="I79" i="1"/>
  <c r="J79" i="1" s="1"/>
  <c r="I119" i="1"/>
  <c r="J119" i="1" s="1"/>
  <c r="I44" i="1"/>
  <c r="J44" i="1" s="1"/>
  <c r="I68" i="1"/>
  <c r="J68" i="1" s="1"/>
  <c r="I100" i="1"/>
  <c r="J100" i="1" s="1"/>
  <c r="I132" i="1"/>
  <c r="J132" i="1" s="1"/>
  <c r="I53" i="1"/>
  <c r="J53" i="1" s="1"/>
  <c r="I85" i="1"/>
  <c r="J85" i="1" s="1"/>
  <c r="I125" i="1"/>
  <c r="J125" i="1" s="1"/>
  <c r="I70" i="1"/>
  <c r="I118" i="1"/>
  <c r="J118" i="1" s="1"/>
  <c r="I47" i="1"/>
  <c r="J47" i="1" s="1"/>
  <c r="I103" i="1"/>
  <c r="J103" i="1" s="1"/>
  <c r="I151" i="1"/>
  <c r="J151" i="1" s="1"/>
  <c r="R1" i="1"/>
  <c r="E20" i="1"/>
  <c r="U1" i="1"/>
  <c r="V1" i="1" s="1"/>
  <c r="F18" i="1"/>
  <c r="N1" i="1"/>
  <c r="O1" i="1" s="1"/>
  <c r="C28" i="1" s="1"/>
  <c r="J74" i="1" l="1"/>
  <c r="D67" i="1"/>
  <c r="J38" i="1"/>
  <c r="B20" i="1"/>
  <c r="F19" i="1"/>
  <c r="J70" i="1"/>
  <c r="D18" i="1"/>
  <c r="D68" i="1"/>
  <c r="D38" i="1"/>
  <c r="D150" i="1"/>
  <c r="D134" i="1"/>
  <c r="D136" i="1"/>
  <c r="D156" i="1"/>
  <c r="D144" i="1"/>
  <c r="D146" i="1"/>
  <c r="D151" i="1"/>
  <c r="D148" i="1"/>
  <c r="D128" i="1"/>
  <c r="D138" i="1"/>
  <c r="D143" i="1"/>
  <c r="D140" i="1"/>
  <c r="D135" i="1"/>
  <c r="D130" i="1"/>
  <c r="D127" i="1"/>
  <c r="D132" i="1"/>
  <c r="D142" i="1"/>
  <c r="D155" i="1"/>
  <c r="D147" i="1"/>
  <c r="D139" i="1"/>
  <c r="D126" i="1"/>
  <c r="D152" i="1"/>
  <c r="D131" i="1"/>
  <c r="D154" i="1"/>
  <c r="K151" i="1" l="1"/>
  <c r="K152" i="1"/>
  <c r="K130" i="1"/>
  <c r="K146" i="1"/>
  <c r="K131" i="1"/>
  <c r="K135" i="1"/>
  <c r="K144" i="1"/>
  <c r="K68" i="1"/>
  <c r="K117" i="1"/>
  <c r="K53" i="1"/>
  <c r="K105" i="1"/>
  <c r="K81" i="1"/>
  <c r="K121" i="1"/>
  <c r="K109" i="1"/>
  <c r="K41" i="1"/>
  <c r="K97" i="1"/>
  <c r="K93" i="1"/>
  <c r="K65" i="1"/>
  <c r="K125" i="1"/>
  <c r="K45" i="1"/>
  <c r="K101" i="1"/>
  <c r="K153" i="1"/>
  <c r="K89" i="1"/>
  <c r="K157" i="1"/>
  <c r="K145" i="1"/>
  <c r="K69" i="1"/>
  <c r="K113" i="1"/>
  <c r="K149" i="1"/>
  <c r="K85" i="1"/>
  <c r="K137" i="1"/>
  <c r="K49" i="1"/>
  <c r="K133" i="1"/>
  <c r="K57" i="1"/>
  <c r="K141" i="1"/>
  <c r="K77" i="1"/>
  <c r="K129" i="1"/>
  <c r="K73" i="1"/>
  <c r="K61" i="1"/>
  <c r="K127" i="1"/>
  <c r="K147" i="1"/>
  <c r="K136" i="1"/>
  <c r="K140" i="1"/>
  <c r="K155" i="1"/>
  <c r="K138" i="1"/>
  <c r="K134" i="1"/>
  <c r="AK1" i="1"/>
  <c r="AL1" i="1" s="1"/>
  <c r="T1" i="1"/>
  <c r="K126" i="1"/>
  <c r="K156" i="1"/>
  <c r="K142" i="1"/>
  <c r="K128" i="1"/>
  <c r="K150" i="1"/>
  <c r="K139" i="1"/>
  <c r="K143" i="1"/>
  <c r="K154" i="1"/>
  <c r="K132" i="1"/>
  <c r="K148" i="1"/>
  <c r="K38" i="1"/>
  <c r="K67" i="1"/>
  <c r="D119" i="1"/>
  <c r="K119" i="1" s="1"/>
  <c r="D60" i="1"/>
  <c r="K60" i="1" s="1"/>
  <c r="D80" i="1"/>
  <c r="K80" i="1" s="1"/>
  <c r="D118" i="1"/>
  <c r="K118" i="1" s="1"/>
  <c r="D19" i="1" l="1"/>
  <c r="L118" i="1" s="1"/>
  <c r="D75" i="1"/>
  <c r="D102" i="1"/>
  <c r="D58" i="1"/>
  <c r="D86" i="1"/>
  <c r="D110" i="1"/>
  <c r="D95" i="1"/>
  <c r="D51" i="1"/>
  <c r="D62" i="1"/>
  <c r="D46" i="1"/>
  <c r="D63" i="1"/>
  <c r="D84" i="1"/>
  <c r="D111" i="1"/>
  <c r="D66" i="1"/>
  <c r="D76" i="1"/>
  <c r="D43" i="1"/>
  <c r="D120" i="1"/>
  <c r="D90" i="1"/>
  <c r="D55" i="1"/>
  <c r="D44" i="1"/>
  <c r="D72" i="1"/>
  <c r="D42" i="1"/>
  <c r="D122" i="1"/>
  <c r="D112" i="1"/>
  <c r="D50" i="1"/>
  <c r="D40" i="1"/>
  <c r="D108" i="1"/>
  <c r="D48" i="1"/>
  <c r="D124" i="1"/>
  <c r="D91" i="1"/>
  <c r="D70" i="1"/>
  <c r="D87" i="1"/>
  <c r="D100" i="1"/>
  <c r="D103" i="1"/>
  <c r="D64" i="1"/>
  <c r="D99" i="1"/>
  <c r="D114" i="1"/>
  <c r="D94" i="1"/>
  <c r="D98" i="1"/>
  <c r="D115" i="1"/>
  <c r="D83" i="1"/>
  <c r="D96" i="1"/>
  <c r="D107" i="1"/>
  <c r="D71" i="1"/>
  <c r="D88" i="1"/>
  <c r="D82" i="1"/>
  <c r="D54" i="1"/>
  <c r="D74" i="1"/>
  <c r="D104" i="1"/>
  <c r="D47" i="1"/>
  <c r="D39" i="1"/>
  <c r="D79" i="1"/>
  <c r="D116" i="1"/>
  <c r="D56" i="1"/>
  <c r="D52" i="1"/>
  <c r="D106" i="1"/>
  <c r="D59" i="1"/>
  <c r="D78" i="1"/>
  <c r="D123" i="1"/>
  <c r="D92" i="1"/>
  <c r="L60" i="1" l="1"/>
  <c r="L80" i="1"/>
  <c r="L119" i="1"/>
  <c r="L109" i="1"/>
  <c r="L146" i="1"/>
  <c r="L151" i="1"/>
  <c r="L132" i="1"/>
  <c r="L105" i="1"/>
  <c r="L126" i="1"/>
  <c r="L139" i="1"/>
  <c r="L101" i="1"/>
  <c r="L138" i="1"/>
  <c r="L143" i="1"/>
  <c r="L97" i="1"/>
  <c r="L73" i="1"/>
  <c r="L65" i="1"/>
  <c r="L67" i="1"/>
  <c r="L131" i="1"/>
  <c r="L93" i="1"/>
  <c r="L135" i="1"/>
  <c r="L89" i="1"/>
  <c r="L144" i="1"/>
  <c r="L141" i="1"/>
  <c r="L68" i="1"/>
  <c r="L157" i="1"/>
  <c r="L130" i="1"/>
  <c r="L153" i="1"/>
  <c r="L57" i="1"/>
  <c r="L61" i="1"/>
  <c r="L128" i="1"/>
  <c r="L53" i="1"/>
  <c r="L41" i="1"/>
  <c r="L149" i="1"/>
  <c r="L85" i="1"/>
  <c r="L69" i="1"/>
  <c r="L127" i="1"/>
  <c r="L145" i="1"/>
  <c r="L81" i="1"/>
  <c r="L77" i="1"/>
  <c r="L49" i="1"/>
  <c r="L156" i="1"/>
  <c r="L147" i="1"/>
  <c r="L137" i="1"/>
  <c r="L129" i="1"/>
  <c r="L133" i="1"/>
  <c r="L38" i="1"/>
  <c r="L150" i="1"/>
  <c r="L125" i="1"/>
  <c r="L152" i="1"/>
  <c r="L45" i="1"/>
  <c r="L148" i="1"/>
  <c r="L121" i="1"/>
  <c r="L142" i="1"/>
  <c r="L155" i="1"/>
  <c r="L117" i="1"/>
  <c r="L154" i="1"/>
  <c r="L136" i="1"/>
  <c r="L140" i="1"/>
  <c r="L113" i="1"/>
  <c r="L134" i="1"/>
  <c r="K124" i="1"/>
  <c r="L124" i="1"/>
  <c r="K123" i="1"/>
  <c r="L123" i="1"/>
  <c r="K122" i="1"/>
  <c r="L122" i="1"/>
  <c r="K120" i="1"/>
  <c r="L120" i="1"/>
  <c r="K116" i="1"/>
  <c r="L116" i="1"/>
  <c r="K114" i="1"/>
  <c r="L114" i="1"/>
  <c r="K115" i="1"/>
  <c r="L115" i="1"/>
  <c r="K112" i="1"/>
  <c r="L112" i="1"/>
  <c r="K110" i="1"/>
  <c r="L110" i="1"/>
  <c r="K111" i="1"/>
  <c r="L111" i="1"/>
  <c r="K108" i="1"/>
  <c r="L108" i="1"/>
  <c r="K107" i="1"/>
  <c r="L107" i="1"/>
  <c r="K106" i="1"/>
  <c r="L106" i="1"/>
  <c r="K104" i="1"/>
  <c r="L104" i="1"/>
  <c r="K102" i="1"/>
  <c r="L102" i="1"/>
  <c r="K103" i="1"/>
  <c r="L103" i="1"/>
  <c r="K100" i="1"/>
  <c r="L100" i="1"/>
  <c r="K98" i="1"/>
  <c r="L98" i="1"/>
  <c r="K99" i="1"/>
  <c r="L99" i="1"/>
  <c r="K96" i="1"/>
  <c r="L96" i="1"/>
  <c r="K95" i="1"/>
  <c r="L95" i="1"/>
  <c r="K94" i="1"/>
  <c r="L94" i="1"/>
  <c r="K92" i="1"/>
  <c r="L92" i="1"/>
  <c r="K91" i="1"/>
  <c r="L91" i="1"/>
  <c r="K90" i="1"/>
  <c r="L90" i="1"/>
  <c r="K88" i="1"/>
  <c r="L88" i="1"/>
  <c r="K86" i="1"/>
  <c r="L86" i="1"/>
  <c r="K87" i="1"/>
  <c r="L87" i="1"/>
  <c r="K84" i="1"/>
  <c r="L84" i="1"/>
  <c r="K82" i="1"/>
  <c r="L82" i="1"/>
  <c r="K83" i="1"/>
  <c r="L83" i="1"/>
  <c r="K79" i="1"/>
  <c r="L79" i="1"/>
  <c r="K78" i="1"/>
  <c r="L78" i="1"/>
  <c r="K76" i="1"/>
  <c r="L76" i="1"/>
  <c r="K74" i="1"/>
  <c r="L74" i="1"/>
  <c r="K75" i="1"/>
  <c r="L75" i="1"/>
  <c r="K72" i="1"/>
  <c r="L72" i="1"/>
  <c r="K70" i="1"/>
  <c r="L70" i="1"/>
  <c r="K71" i="1"/>
  <c r="L71" i="1"/>
  <c r="K66" i="1"/>
  <c r="L66" i="1"/>
  <c r="K64" i="1"/>
  <c r="L64" i="1"/>
  <c r="K63" i="1"/>
  <c r="L63" i="1"/>
  <c r="K62" i="1"/>
  <c r="L62" i="1"/>
  <c r="K59" i="1"/>
  <c r="L59" i="1"/>
  <c r="K58" i="1"/>
  <c r="L58" i="1"/>
  <c r="K56" i="1"/>
  <c r="L56" i="1"/>
  <c r="K54" i="1"/>
  <c r="L54" i="1"/>
  <c r="K55" i="1"/>
  <c r="L55" i="1"/>
  <c r="K52" i="1"/>
  <c r="L52" i="1"/>
  <c r="K50" i="1"/>
  <c r="L50" i="1"/>
  <c r="K51" i="1"/>
  <c r="L51" i="1"/>
  <c r="K48" i="1"/>
  <c r="L48" i="1"/>
  <c r="K47" i="1"/>
  <c r="L47" i="1"/>
  <c r="K46" i="1"/>
  <c r="L46" i="1"/>
  <c r="K44" i="1"/>
  <c r="L44" i="1"/>
  <c r="K43" i="1"/>
  <c r="L43" i="1"/>
  <c r="K42" i="1"/>
  <c r="L42" i="1"/>
  <c r="K40" i="1"/>
  <c r="L40" i="1"/>
  <c r="K39" i="1"/>
  <c r="L39" i="1"/>
  <c r="E19" i="1" l="1"/>
  <c r="E18" i="1"/>
  <c r="E26" i="1" s="1"/>
  <c r="A25" i="1" l="1"/>
  <c r="E25" i="1"/>
  <c r="AE1" i="1" s="1"/>
  <c r="F25" i="1" s="1"/>
  <c r="F26" i="1" l="1"/>
  <c r="G26" i="1" s="1"/>
  <c r="H127" i="1" s="1"/>
  <c r="H86" i="1" l="1"/>
  <c r="H154" i="1"/>
  <c r="H40" i="1"/>
  <c r="H148" i="1"/>
  <c r="H112" i="1"/>
  <c r="H102" i="1"/>
  <c r="H43" i="1"/>
  <c r="H135" i="1"/>
  <c r="H122" i="1"/>
  <c r="H83" i="1"/>
  <c r="H56" i="1"/>
  <c r="H64" i="1"/>
  <c r="H72" i="1"/>
  <c r="H51" i="1"/>
  <c r="H59" i="1"/>
  <c r="H58" i="1"/>
  <c r="H71" i="1"/>
  <c r="H68" i="1"/>
  <c r="H42" i="1"/>
  <c r="H44" i="1"/>
  <c r="H120" i="1"/>
  <c r="H114" i="1"/>
  <c r="H92" i="1"/>
  <c r="H116" i="1"/>
  <c r="H131" i="1"/>
  <c r="H110" i="1"/>
  <c r="H146" i="1"/>
  <c r="H150" i="1"/>
  <c r="H95" i="1"/>
  <c r="H140" i="1"/>
  <c r="H84" i="1"/>
  <c r="H96" i="1"/>
  <c r="H100" i="1"/>
  <c r="H78" i="1"/>
  <c r="H126" i="1"/>
  <c r="H48" i="1"/>
  <c r="H39" i="1"/>
  <c r="H87" i="1"/>
  <c r="H82" i="1"/>
  <c r="H151" i="1"/>
  <c r="H156" i="1"/>
  <c r="H52" i="1"/>
  <c r="H130" i="1"/>
  <c r="H142" i="1"/>
  <c r="H99" i="1"/>
  <c r="H106" i="1"/>
  <c r="H54" i="1"/>
  <c r="H124" i="1"/>
  <c r="H115" i="1"/>
  <c r="H132" i="1"/>
  <c r="H74" i="1"/>
  <c r="H60" i="1"/>
  <c r="H55" i="1"/>
  <c r="H123" i="1"/>
  <c r="H108" i="1"/>
  <c r="H67" i="1"/>
  <c r="H107" i="1"/>
  <c r="H104" i="1"/>
  <c r="H147" i="1"/>
  <c r="H98" i="1"/>
  <c r="H138" i="1"/>
  <c r="H38" i="1"/>
  <c r="H134" i="1"/>
  <c r="H94" i="1"/>
  <c r="H46" i="1"/>
  <c r="H155" i="1"/>
  <c r="H152" i="1"/>
  <c r="H76" i="1"/>
  <c r="H66" i="1"/>
  <c r="H91" i="1"/>
  <c r="H62" i="1"/>
  <c r="H63" i="1"/>
  <c r="H50" i="1"/>
  <c r="H136" i="1"/>
  <c r="H70" i="1"/>
  <c r="H90" i="1"/>
  <c r="H75" i="1"/>
  <c r="H128" i="1"/>
  <c r="H111" i="1"/>
  <c r="H143" i="1"/>
  <c r="H103" i="1"/>
  <c r="H144" i="1"/>
  <c r="H139" i="1"/>
  <c r="H118" i="1"/>
  <c r="H88" i="1"/>
  <c r="H119" i="1"/>
  <c r="H47" i="1"/>
  <c r="H80" i="1"/>
  <c r="H79" i="1"/>
  <c r="H158" i="1" l="1"/>
</calcChain>
</file>

<file path=xl/sharedStrings.xml><?xml version="1.0" encoding="utf-8"?>
<sst xmlns="http://schemas.openxmlformats.org/spreadsheetml/2006/main" count="68" uniqueCount="67">
  <si>
    <t>Indeksregulering af a'contobegæringer</t>
  </si>
  <si>
    <t xml:space="preserve">Entreprise: </t>
  </si>
  <si>
    <t>Fakturanr.</t>
  </si>
  <si>
    <t>Acontobeløb</t>
  </si>
  <si>
    <t>Måned</t>
  </si>
  <si>
    <t>Rate indeks</t>
  </si>
  <si>
    <t>I alt</t>
  </si>
  <si>
    <t>2018K3</t>
  </si>
  <si>
    <t>2018K4</t>
  </si>
  <si>
    <t>2019K1</t>
  </si>
  <si>
    <t>Indeks</t>
  </si>
  <si>
    <t>2019K2</t>
  </si>
  <si>
    <t>2019K3</t>
  </si>
  <si>
    <t>2019K4</t>
  </si>
  <si>
    <t>2020K1</t>
  </si>
  <si>
    <t>2020K4</t>
  </si>
  <si>
    <t>2020K2</t>
  </si>
  <si>
    <t>2020K3</t>
  </si>
  <si>
    <t>2021K1</t>
  </si>
  <si>
    <t>2021K2</t>
  </si>
  <si>
    <t>2021K3</t>
  </si>
  <si>
    <t>2021K4</t>
  </si>
  <si>
    <t>2022K1</t>
  </si>
  <si>
    <t>2022K2</t>
  </si>
  <si>
    <t>2022K3</t>
  </si>
  <si>
    <t>2022K4</t>
  </si>
  <si>
    <t>2023K1</t>
  </si>
  <si>
    <t>Byggeomkostningsindeks for boliger</t>
  </si>
  <si>
    <t>Indeksværdier beregnes med én decimal.</t>
  </si>
  <si>
    <t xml:space="preserve">Ved interpolation mellem kvartalsindeksene regnes med måneder a 30 dage og kvartaler a 90 dage (3 gange 30). </t>
  </si>
  <si>
    <t>Til brug for beregning af indeksregulering af a'contobegæringer anvendes følgende datoer:</t>
  </si>
  <si>
    <t>Basisindekset (6 månedersdagen) kan således fastsættes til:</t>
  </si>
  <si>
    <t>Indeksdato
månedlig</t>
  </si>
  <si>
    <t>2023K2</t>
  </si>
  <si>
    <t>2023K3</t>
  </si>
  <si>
    <t>2023K4</t>
  </si>
  <si>
    <t>2024K1</t>
  </si>
  <si>
    <t>Antal dage fra:</t>
  </si>
  <si>
    <t>til</t>
  </si>
  <si>
    <t>https://www.dst.dk/da/Statistik/emner/priser-og-forbrug/omkostningsindeks/byggeomkostningsindeks-for-boliger</t>
  </si>
  <si>
    <t>2024K2</t>
  </si>
  <si>
    <t>2024K3</t>
  </si>
  <si>
    <t>2024K4</t>
  </si>
  <si>
    <t>2025K1</t>
  </si>
  <si>
    <t>2025K2</t>
  </si>
  <si>
    <t>2025K3</t>
  </si>
  <si>
    <t>2025K4</t>
  </si>
  <si>
    <t>2026K1</t>
  </si>
  <si>
    <t>dage</t>
  </si>
  <si>
    <t>Indtast kun i celler markeret med gult, 
resten bliver udregnet automatisk.</t>
  </si>
  <si>
    <t>Datoen for entreprenørens tilbud:</t>
  </si>
  <si>
    <t>Til beregning af basisindeks anvendes "Byggeomkostningsindeks for boliger i alt" fra Danmarks Statistik:</t>
  </si>
  <si>
    <r>
      <t xml:space="preserve">Indeksdatoen for kvartalet, der lå før </t>
    </r>
    <r>
      <rPr>
        <b/>
        <sz val="10"/>
        <rFont val="Calibri"/>
        <family val="2"/>
      </rPr>
      <t>basisindeks</t>
    </r>
    <r>
      <rPr>
        <sz val="10"/>
        <rFont val="Calibri"/>
        <family val="2"/>
      </rPr>
      <t xml:space="preserve"> datoen:</t>
    </r>
  </si>
  <si>
    <t>Når der kommer nye byggeomkostningsindekser for boliger i ialt, kan de findes i nedestående link, og skal indtastes i kolonne F i nedenstående ark:</t>
  </si>
  <si>
    <t>K</t>
  </si>
  <si>
    <t>Betaling for arbejder i</t>
  </si>
  <si>
    <t>kan kun reguleres for den del, der ligger efter</t>
  </si>
  <si>
    <t>, hvilket er indarbejdet i regnearket</t>
  </si>
  <si>
    <t xml:space="preserve">som afrundes til </t>
  </si>
  <si>
    <t xml:space="preserve">Datoen for fastprisperioden (1 år fra entreprenørens tilbud) gælder frem til:  </t>
  </si>
  <si>
    <r>
      <t xml:space="preserve">Dagen for </t>
    </r>
    <r>
      <rPr>
        <b/>
        <sz val="10"/>
        <rFont val="Calibri"/>
        <family val="2"/>
      </rPr>
      <t>basisindeks</t>
    </r>
    <r>
      <rPr>
        <sz val="10"/>
        <rFont val="Calibri"/>
        <family val="2"/>
      </rPr>
      <t xml:space="preserve"> fastsættelse som 6-månedersdagen fra entreprenørens tilbud:</t>
    </r>
  </si>
  <si>
    <t xml:space="preserve"> hvilket er </t>
  </si>
  <si>
    <t xml:space="preserve"> dage  (er indarbejdet i regnearket).</t>
  </si>
  <si>
    <t>Hvis du indtaster fakturanumre samt a'contobeløb, vil indeksreguleringsbeløbet automatisk blive udregnet. Alle beløb er ekskl. moms</t>
  </si>
  <si>
    <t>Byggeomkostningsindeks for boliger i alt</t>
  </si>
  <si>
    <t>Reguleringsbeløb</t>
  </si>
  <si>
    <t>Indeksregulering af a'contobegæringer beregnes iht. AB 18 § 34 / ABT § 32 / Bygge- og Boligstyrelsens cirkulære af 10. oktober 1991 om 
pris og tid på bygge- og anlægsarbejder mv. (hvad der er aftalt i den konkrete aftale).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</si>
</sst>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4" formatCode="_-* #,##0.00\ &quot;kr.&quot;_-;\-* #,##0.00\ &quot;kr.&quot;_-;_-* &quot;-&quot;??\ &quot;kr.&quot;_-;_-@_-"/>
    <numFmt numFmtId="164" formatCode="_-* #,##0.00\ _k_r_._-;\-* #,##0.00\ _k_r_._-;_-* &quot;-&quot;??\ _k_r_._-;_-@_-"/>
    <numFmt numFmtId="165" formatCode="0.0"/>
    <numFmt numFmtId="166" formatCode="#,##0.00_ ;[Red]\-#,##0.00\ "/>
    <numFmt numFmtId="167" formatCode="#,##0.00000;[Red]\-#,##0.00000"/>
    <numFmt numFmtId="168" formatCode="0.000"/>
    <numFmt numFmtId="169" formatCode="[$-406]d\.\ mmmm\ yyyy;@"/>
    <numFmt numFmtId="170" formatCode="\+0.0;\ \-0.0;\ 0.0"/>
    <numFmt numFmtId="171" formatCode="\+0.0000;\ \-0.0000;\ 0.0000"/>
    <numFmt numFmtId="172" formatCode="\=0.0"/>
    <numFmt numFmtId="173" formatCode="[$-406]mmmm\ yyyy;@"/>
    <numFmt numFmtId="174" formatCode="0_ ;\-0\ "/>
    <numFmt numFmtId="175" formatCode="dd"/>
    <numFmt numFmtId="176" formatCode="_-* #,##0.00\ [$kr.-406]_-;\-* #,##0.00\ [$kr.-406]_-;_-* &quot;-&quot;??\ [$kr.-406]_-;_-@_-"/>
    <numFmt numFmtId="177" formatCode="mmmm/yy"/>
  </numFmts>
  <fonts count="25" x14ac:knownFonts="1">
    <font>
      <sz val="11"/>
      <color theme="1"/>
      <name val="Calibri"/>
      <family val="2"/>
      <scheme val="minor"/>
    </font>
    <font>
      <sz val="10"/>
      <name val="Arial"/>
      <family val="2"/>
    </font>
    <font>
      <sz val="10"/>
      <name val="Arial"/>
      <family val="2"/>
    </font>
    <font>
      <b/>
      <sz val="17"/>
      <name val="Calibri"/>
      <family val="2"/>
    </font>
    <font>
      <sz val="9.5"/>
      <name val="Calibri"/>
      <family val="2"/>
    </font>
    <font>
      <b/>
      <sz val="9.5"/>
      <name val="Calibri"/>
      <family val="2"/>
    </font>
    <font>
      <sz val="11"/>
      <color rgb="FF000000"/>
      <name val="Calibri"/>
      <family val="2"/>
    </font>
    <font>
      <b/>
      <sz val="13"/>
      <color rgb="FF000000"/>
      <name val="Calibri"/>
      <family val="2"/>
    </font>
    <font>
      <i/>
      <sz val="11"/>
      <color rgb="FF000000"/>
      <name val="Calibri"/>
      <family val="2"/>
    </font>
    <font>
      <b/>
      <sz val="11"/>
      <color rgb="FF000000"/>
      <name val="Calibri"/>
      <family val="2"/>
    </font>
    <font>
      <sz val="11"/>
      <color theme="1"/>
      <name val="Calibri"/>
      <family val="2"/>
      <scheme val="minor"/>
    </font>
    <font>
      <b/>
      <sz val="17"/>
      <color rgb="FF44C8C4"/>
      <name val="Calibri"/>
      <family val="2"/>
    </font>
    <font>
      <b/>
      <sz val="10"/>
      <name val="Calibri"/>
      <family val="2"/>
    </font>
    <font>
      <sz val="10"/>
      <name val="Calibri"/>
      <family val="2"/>
    </font>
    <font>
      <b/>
      <sz val="11"/>
      <color theme="1"/>
      <name val="Calibri"/>
      <family val="2"/>
      <scheme val="minor"/>
    </font>
    <font>
      <u/>
      <sz val="11"/>
      <color theme="10"/>
      <name val="Calibri"/>
      <family val="2"/>
      <scheme val="minor"/>
    </font>
    <font>
      <sz val="9.5"/>
      <color theme="1"/>
      <name val="Calibri"/>
      <family val="2"/>
      <scheme val="minor"/>
    </font>
    <font>
      <sz val="12"/>
      <name val="Calibri"/>
      <family val="2"/>
    </font>
    <font>
      <b/>
      <sz val="12"/>
      <name val="Calibri"/>
      <family val="2"/>
    </font>
    <font>
      <sz val="12"/>
      <name val="Arial"/>
      <family val="2"/>
    </font>
    <font>
      <u/>
      <sz val="10"/>
      <color theme="10"/>
      <name val="Calibri"/>
      <family val="2"/>
      <scheme val="minor"/>
    </font>
    <font>
      <sz val="10"/>
      <color theme="1"/>
      <name val="Calibri"/>
      <family val="2"/>
      <scheme val="minor"/>
    </font>
    <font>
      <sz val="10"/>
      <color rgb="FFFF0000"/>
      <name val="Calibri"/>
      <family val="2"/>
    </font>
    <font>
      <sz val="10"/>
      <color theme="1"/>
      <name val="Calibri"/>
      <family val="2"/>
    </font>
    <font>
      <b/>
      <sz val="10"/>
      <color rgb="FFFF0000"/>
      <name val="Calibri"/>
      <family val="2"/>
    </font>
  </fonts>
  <fills count="5">
    <fill>
      <patternFill patternType="none"/>
    </fill>
    <fill>
      <patternFill patternType="gray125"/>
    </fill>
    <fill>
      <patternFill patternType="solid">
        <fgColor theme="0"/>
        <bgColor indexed="64"/>
      </patternFill>
    </fill>
    <fill>
      <patternFill patternType="solid">
        <fgColor rgb="FF44C8C4"/>
        <bgColor indexed="64"/>
      </patternFill>
    </fill>
    <fill>
      <patternFill patternType="solid">
        <fgColor rgb="FFFFFF00"/>
        <bgColor indexed="64"/>
      </patternFill>
    </fill>
  </fills>
  <borders count="19">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4" fillId="0" borderId="0"/>
    <xf numFmtId="0" fontId="6" fillId="0" borderId="0" applyNumberFormat="0" applyBorder="0" applyAlignment="0"/>
    <xf numFmtId="164" fontId="10" fillId="0" borderId="0" applyFont="0" applyFill="0" applyBorder="0" applyAlignment="0" applyProtection="0"/>
    <xf numFmtId="0" fontId="15" fillId="0" borderId="0" applyNumberFormat="0" applyFill="0" applyBorder="0" applyAlignment="0" applyProtection="0"/>
    <xf numFmtId="44" fontId="10" fillId="0" borderId="0" applyFont="0" applyFill="0" applyBorder="0" applyAlignment="0" applyProtection="0"/>
  </cellStyleXfs>
  <cellXfs count="201">
    <xf numFmtId="0" fontId="0" fillId="0" borderId="0" xfId="0"/>
    <xf numFmtId="0" fontId="4" fillId="0" borderId="0" xfId="0" applyFont="1"/>
    <xf numFmtId="0" fontId="4" fillId="0" borderId="0" xfId="0" applyFont="1" applyAlignment="1">
      <alignment horizontal="right" indent="1"/>
    </xf>
    <xf numFmtId="2" fontId="4" fillId="0" borderId="0" xfId="0" applyNumberFormat="1" applyFont="1" applyAlignment="1">
      <alignment horizontal="right" indent="1"/>
    </xf>
    <xf numFmtId="0" fontId="0" fillId="0" borderId="0" xfId="0" applyAlignment="1">
      <alignment horizontal="left"/>
    </xf>
    <xf numFmtId="0" fontId="4" fillId="0" borderId="5" xfId="0" applyFont="1" applyBorder="1"/>
    <xf numFmtId="0" fontId="5" fillId="0" borderId="0" xfId="0" applyFont="1"/>
    <xf numFmtId="3" fontId="4" fillId="0" borderId="0" xfId="0" applyNumberFormat="1" applyFont="1"/>
    <xf numFmtId="14" fontId="4" fillId="0" borderId="0" xfId="0" applyNumberFormat="1" applyFont="1" applyAlignment="1">
      <alignment horizontal="right" indent="1"/>
    </xf>
    <xf numFmtId="3" fontId="4" fillId="0" borderId="0" xfId="0" applyNumberFormat="1" applyFont="1" applyAlignment="1">
      <alignment horizontal="right" indent="1"/>
    </xf>
    <xf numFmtId="3" fontId="0" fillId="0" borderId="0" xfId="0" applyNumberFormat="1"/>
    <xf numFmtId="0" fontId="2" fillId="0" borderId="0" xfId="0" applyFont="1" applyAlignment="1">
      <alignment horizontal="right" indent="1"/>
    </xf>
    <xf numFmtId="2" fontId="2" fillId="0" borderId="0" xfId="0" applyNumberFormat="1" applyFont="1" applyAlignment="1">
      <alignment horizontal="right" indent="1"/>
    </xf>
    <xf numFmtId="0" fontId="6" fillId="0" borderId="0" xfId="2" applyFill="1" applyProtection="1"/>
    <xf numFmtId="0" fontId="7" fillId="0" borderId="0" xfId="2" applyFont="1" applyFill="1" applyProtection="1"/>
    <xf numFmtId="0" fontId="8" fillId="0" borderId="0" xfId="2" applyFont="1" applyFill="1" applyProtection="1"/>
    <xf numFmtId="40" fontId="6" fillId="0" borderId="0" xfId="2" applyNumberFormat="1" applyFill="1" applyAlignment="1" applyProtection="1">
      <alignment horizontal="left"/>
    </xf>
    <xf numFmtId="40" fontId="6" fillId="0" borderId="0" xfId="2" applyNumberFormat="1" applyFill="1" applyProtection="1"/>
    <xf numFmtId="40" fontId="8" fillId="0" borderId="0" xfId="2" applyNumberFormat="1" applyFont="1" applyFill="1" applyProtection="1"/>
    <xf numFmtId="0" fontId="6" fillId="0" borderId="10" xfId="2" applyFill="1" applyBorder="1" applyAlignment="1" applyProtection="1">
      <alignment horizontal="left"/>
    </xf>
    <xf numFmtId="0" fontId="6" fillId="0" borderId="0" xfId="2" applyFill="1" applyBorder="1" applyAlignment="1" applyProtection="1">
      <alignment horizontal="left"/>
    </xf>
    <xf numFmtId="0" fontId="6" fillId="0" borderId="11" xfId="2" applyFill="1" applyBorder="1" applyAlignment="1" applyProtection="1">
      <alignment horizontal="left"/>
    </xf>
    <xf numFmtId="40" fontId="6" fillId="0" borderId="10" xfId="2" applyNumberFormat="1" applyFill="1" applyBorder="1" applyAlignment="1" applyProtection="1">
      <alignment horizontal="right"/>
    </xf>
    <xf numFmtId="40" fontId="6" fillId="0" borderId="0" xfId="2" applyNumberFormat="1" applyFill="1" applyBorder="1" applyAlignment="1" applyProtection="1">
      <alignment horizontal="right"/>
    </xf>
    <xf numFmtId="40" fontId="6" fillId="0" borderId="11" xfId="2" applyNumberFormat="1" applyFill="1" applyBorder="1" applyAlignment="1" applyProtection="1">
      <alignment horizontal="right"/>
    </xf>
    <xf numFmtId="40" fontId="6" fillId="0" borderId="10" xfId="2" applyNumberFormat="1" applyFill="1" applyBorder="1" applyProtection="1"/>
    <xf numFmtId="40" fontId="6" fillId="0" borderId="0" xfId="2" applyNumberFormat="1" applyFill="1" applyBorder="1" applyProtection="1"/>
    <xf numFmtId="40" fontId="6" fillId="0" borderId="11" xfId="2" applyNumberFormat="1" applyFill="1" applyBorder="1" applyProtection="1"/>
    <xf numFmtId="40" fontId="6" fillId="0" borderId="12" xfId="2" applyNumberFormat="1" applyFill="1" applyBorder="1" applyProtection="1"/>
    <xf numFmtId="40" fontId="6" fillId="0" borderId="13" xfId="2" applyNumberFormat="1" applyFill="1" applyBorder="1" applyProtection="1"/>
    <xf numFmtId="40" fontId="6" fillId="0" borderId="14" xfId="2" applyNumberFormat="1" applyFill="1" applyBorder="1" applyProtection="1"/>
    <xf numFmtId="0" fontId="6" fillId="0" borderId="11" xfId="2" applyFill="1" applyBorder="1" applyProtection="1"/>
    <xf numFmtId="166" fontId="6" fillId="0" borderId="0" xfId="2" applyNumberFormat="1" applyFill="1" applyProtection="1"/>
    <xf numFmtId="40" fontId="9" fillId="0" borderId="10" xfId="2" applyNumberFormat="1" applyFont="1" applyFill="1" applyBorder="1" applyAlignment="1" applyProtection="1">
      <alignment horizontal="right"/>
    </xf>
    <xf numFmtId="40" fontId="9" fillId="0" borderId="0" xfId="2" applyNumberFormat="1" applyFont="1" applyFill="1" applyBorder="1" applyAlignment="1" applyProtection="1">
      <alignment horizontal="right"/>
    </xf>
    <xf numFmtId="167" fontId="6" fillId="0" borderId="13" xfId="2" applyNumberFormat="1" applyFill="1" applyBorder="1" applyProtection="1"/>
    <xf numFmtId="0" fontId="0" fillId="0" borderId="0" xfId="0" applyAlignment="1">
      <alignment horizontal="right"/>
    </xf>
    <xf numFmtId="0" fontId="0" fillId="0" borderId="0" xfId="0" quotePrefix="1"/>
    <xf numFmtId="0" fontId="6" fillId="0" borderId="0" xfId="2" applyFill="1" applyProtection="1"/>
    <xf numFmtId="40" fontId="6" fillId="0" borderId="0" xfId="2" applyNumberFormat="1" applyFill="1" applyProtection="1"/>
    <xf numFmtId="0" fontId="6" fillId="0" borderId="10" xfId="2" applyFill="1" applyBorder="1" applyAlignment="1" applyProtection="1">
      <alignment horizontal="left"/>
    </xf>
    <xf numFmtId="0" fontId="6" fillId="0" borderId="0" xfId="2" applyFill="1" applyBorder="1" applyAlignment="1" applyProtection="1">
      <alignment horizontal="left"/>
    </xf>
    <xf numFmtId="40" fontId="6" fillId="0" borderId="10" xfId="2" applyNumberFormat="1" applyFill="1" applyBorder="1" applyAlignment="1" applyProtection="1">
      <alignment horizontal="right"/>
    </xf>
    <xf numFmtId="40" fontId="6" fillId="0" borderId="0" xfId="2" applyNumberFormat="1" applyFill="1" applyBorder="1" applyAlignment="1" applyProtection="1">
      <alignment horizontal="right"/>
    </xf>
    <xf numFmtId="40" fontId="6" fillId="0" borderId="10" xfId="2" applyNumberFormat="1" applyFill="1" applyBorder="1" applyProtection="1"/>
    <xf numFmtId="40" fontId="6" fillId="0" borderId="0" xfId="2" applyNumberFormat="1" applyFill="1" applyBorder="1" applyProtection="1"/>
    <xf numFmtId="40" fontId="6" fillId="0" borderId="11" xfId="2" applyNumberFormat="1" applyFill="1" applyBorder="1" applyProtection="1"/>
    <xf numFmtId="40" fontId="6" fillId="0" borderId="12" xfId="2" applyNumberFormat="1" applyFill="1" applyBorder="1" applyProtection="1"/>
    <xf numFmtId="40" fontId="6" fillId="0" borderId="14" xfId="2" applyNumberFormat="1" applyFill="1" applyBorder="1" applyProtection="1"/>
    <xf numFmtId="0" fontId="6" fillId="0" borderId="11" xfId="2" applyFill="1" applyBorder="1" applyProtection="1"/>
    <xf numFmtId="40" fontId="9" fillId="0" borderId="0" xfId="2" applyNumberFormat="1" applyFont="1" applyFill="1" applyBorder="1" applyAlignment="1" applyProtection="1">
      <alignment horizontal="right"/>
    </xf>
    <xf numFmtId="167" fontId="6" fillId="0" borderId="13" xfId="2" applyNumberFormat="1" applyFill="1" applyBorder="1" applyProtection="1"/>
    <xf numFmtId="40" fontId="9" fillId="0" borderId="0" xfId="2" applyNumberFormat="1" applyFont="1" applyFill="1" applyProtection="1"/>
    <xf numFmtId="0" fontId="13" fillId="0" borderId="0" xfId="0" applyFont="1"/>
    <xf numFmtId="1" fontId="0" fillId="0" borderId="0" xfId="0" applyNumberFormat="1"/>
    <xf numFmtId="0" fontId="0" fillId="0" borderId="0" xfId="0" applyBorder="1"/>
    <xf numFmtId="0" fontId="4" fillId="0" borderId="0" xfId="0" applyFont="1" applyBorder="1"/>
    <xf numFmtId="0" fontId="5" fillId="0" borderId="0" xfId="0" applyFont="1" applyBorder="1"/>
    <xf numFmtId="0" fontId="15" fillId="0" borderId="0" xfId="4" applyBorder="1"/>
    <xf numFmtId="0" fontId="13" fillId="0" borderId="0" xfId="0" applyFont="1" applyBorder="1"/>
    <xf numFmtId="0" fontId="4" fillId="0" borderId="0" xfId="0" applyFont="1" applyBorder="1" applyProtection="1"/>
    <xf numFmtId="0" fontId="0" fillId="0" borderId="0" xfId="0" applyBorder="1" applyAlignment="1">
      <alignment horizontal="left"/>
    </xf>
    <xf numFmtId="14" fontId="4" fillId="0" borderId="0" xfId="0" applyNumberFormat="1" applyFont="1" applyBorder="1"/>
    <xf numFmtId="165" fontId="4" fillId="0" borderId="0" xfId="0" applyNumberFormat="1" applyFont="1" applyBorder="1"/>
    <xf numFmtId="0" fontId="16" fillId="0" borderId="0" xfId="0" applyFont="1" applyBorder="1" applyAlignment="1">
      <alignment horizontal="left"/>
    </xf>
    <xf numFmtId="17" fontId="14" fillId="0" borderId="0" xfId="0" applyNumberFormat="1" applyFont="1" applyBorder="1" applyAlignment="1">
      <alignment horizontal="left"/>
    </xf>
    <xf numFmtId="14" fontId="0" fillId="0" borderId="0" xfId="0" applyNumberFormat="1" applyBorder="1" applyAlignment="1">
      <alignment horizontal="left"/>
    </xf>
    <xf numFmtId="1" fontId="0" fillId="0" borderId="0" xfId="0" applyNumberFormat="1" applyBorder="1" applyAlignment="1">
      <alignment horizontal="center"/>
    </xf>
    <xf numFmtId="0" fontId="13" fillId="0" borderId="4" xfId="0" applyFont="1" applyBorder="1" applyAlignment="1"/>
    <xf numFmtId="170" fontId="13" fillId="2" borderId="7" xfId="0" applyNumberFormat="1" applyFont="1" applyFill="1" applyBorder="1" applyAlignment="1">
      <alignment horizontal="left" indent="1"/>
    </xf>
    <xf numFmtId="172" fontId="12" fillId="2" borderId="3" xfId="0" applyNumberFormat="1" applyFont="1" applyFill="1" applyBorder="1" applyAlignment="1">
      <alignment horizontal="center"/>
    </xf>
    <xf numFmtId="14" fontId="4" fillId="0" borderId="0" xfId="0" applyNumberFormat="1" applyFont="1"/>
    <xf numFmtId="2" fontId="4" fillId="0" borderId="0" xfId="0" applyNumberFormat="1" applyFont="1" applyBorder="1"/>
    <xf numFmtId="0" fontId="9" fillId="0" borderId="0" xfId="2" applyFont="1" applyFill="1" applyBorder="1" applyAlignment="1" applyProtection="1">
      <alignment horizontal="left"/>
    </xf>
    <xf numFmtId="0" fontId="9" fillId="0" borderId="0" xfId="2" applyFont="1" applyFill="1" applyBorder="1" applyProtection="1"/>
    <xf numFmtId="0" fontId="6" fillId="0" borderId="0" xfId="2" applyFill="1" applyBorder="1" applyAlignment="1" applyProtection="1">
      <alignment horizontal="center"/>
    </xf>
    <xf numFmtId="0" fontId="2" fillId="0" borderId="0" xfId="0" applyFont="1" applyBorder="1" applyAlignment="1">
      <alignment horizontal="right" indent="1"/>
    </xf>
    <xf numFmtId="2" fontId="2" fillId="0" borderId="0" xfId="0" applyNumberFormat="1" applyFont="1" applyBorder="1" applyAlignment="1">
      <alignment horizontal="right" indent="1"/>
    </xf>
    <xf numFmtId="0" fontId="11" fillId="0" borderId="15" xfId="0" applyFont="1" applyBorder="1"/>
    <xf numFmtId="0" fontId="3" fillId="0" borderId="9" xfId="0" applyFont="1" applyBorder="1"/>
    <xf numFmtId="0" fontId="1" fillId="0" borderId="9" xfId="0" applyFont="1" applyBorder="1" applyAlignment="1">
      <alignment horizontal="right" indent="1"/>
    </xf>
    <xf numFmtId="2" fontId="1" fillId="0" borderId="9" xfId="0" applyNumberFormat="1" applyFont="1" applyBorder="1" applyAlignment="1">
      <alignment horizontal="right" indent="1"/>
    </xf>
    <xf numFmtId="0" fontId="2" fillId="0" borderId="9" xfId="0" applyFont="1" applyBorder="1" applyAlignment="1">
      <alignment horizontal="right" indent="1"/>
    </xf>
    <xf numFmtId="0" fontId="2" fillId="0" borderId="16" xfId="0" applyFont="1" applyBorder="1" applyAlignment="1">
      <alignment horizontal="right" indent="1"/>
    </xf>
    <xf numFmtId="0" fontId="0" fillId="0" borderId="5" xfId="0" applyBorder="1"/>
    <xf numFmtId="0" fontId="2" fillId="0" borderId="2" xfId="0" applyFont="1" applyBorder="1" applyAlignment="1">
      <alignment horizontal="right" indent="1"/>
    </xf>
    <xf numFmtId="0" fontId="4" fillId="0" borderId="0" xfId="0" applyFont="1" applyBorder="1" applyAlignment="1">
      <alignment horizontal="right" indent="1"/>
    </xf>
    <xf numFmtId="2" fontId="4" fillId="0" borderId="0" xfId="0" applyNumberFormat="1" applyFont="1" applyBorder="1" applyAlignment="1">
      <alignment horizontal="right" indent="1"/>
    </xf>
    <xf numFmtId="0" fontId="4" fillId="0" borderId="2" xfId="0" applyFont="1" applyBorder="1" applyAlignment="1">
      <alignment horizontal="right" indent="1"/>
    </xf>
    <xf numFmtId="0" fontId="12" fillId="0" borderId="5" xfId="0" applyFont="1" applyBorder="1"/>
    <xf numFmtId="0" fontId="13" fillId="0" borderId="0" xfId="0" applyFont="1" applyBorder="1" applyAlignment="1">
      <alignment horizontal="right" indent="1"/>
    </xf>
    <xf numFmtId="0" fontId="13" fillId="0" borderId="2" xfId="0" applyFont="1" applyBorder="1" applyAlignment="1">
      <alignment horizontal="right" indent="1"/>
    </xf>
    <xf numFmtId="0" fontId="18" fillId="0" borderId="5" xfId="0" applyFont="1" applyBorder="1"/>
    <xf numFmtId="0" fontId="18" fillId="0" borderId="0" xfId="0" applyFont="1" applyBorder="1"/>
    <xf numFmtId="0" fontId="19" fillId="0" borderId="0" xfId="0" applyFont="1" applyBorder="1" applyAlignment="1">
      <alignment horizontal="right" indent="1"/>
    </xf>
    <xf numFmtId="0" fontId="18" fillId="0" borderId="0" xfId="0" applyFont="1" applyBorder="1" applyAlignment="1">
      <alignment horizontal="right"/>
    </xf>
    <xf numFmtId="0" fontId="13" fillId="0" borderId="5" xfId="0" applyFont="1" applyBorder="1"/>
    <xf numFmtId="2" fontId="13" fillId="0" borderId="0" xfId="0" applyNumberFormat="1" applyFont="1" applyBorder="1" applyAlignment="1">
      <alignment horizontal="right" indent="1"/>
    </xf>
    <xf numFmtId="14" fontId="13" fillId="4" borderId="3" xfId="0" applyNumberFormat="1" applyFont="1" applyFill="1" applyBorder="1" applyAlignment="1">
      <alignment horizontal="right" indent="1"/>
    </xf>
    <xf numFmtId="14" fontId="13" fillId="0" borderId="0" xfId="0" applyNumberFormat="1" applyFont="1" applyBorder="1" applyAlignment="1">
      <alignment horizontal="right" indent="1"/>
    </xf>
    <xf numFmtId="14" fontId="13" fillId="0" borderId="3" xfId="0" applyNumberFormat="1" applyFont="1" applyBorder="1" applyAlignment="1">
      <alignment horizontal="right" indent="1"/>
    </xf>
    <xf numFmtId="14" fontId="13" fillId="0" borderId="2" xfId="0" applyNumberFormat="1" applyFont="1" applyBorder="1"/>
    <xf numFmtId="14" fontId="13" fillId="2" borderId="3" xfId="0" applyNumberFormat="1" applyFont="1" applyFill="1" applyBorder="1" applyAlignment="1">
      <alignment horizontal="right" indent="1"/>
    </xf>
    <xf numFmtId="2" fontId="13" fillId="0" borderId="0" xfId="0" applyNumberFormat="1" applyFont="1" applyBorder="1" applyAlignment="1"/>
    <xf numFmtId="2" fontId="13" fillId="0" borderId="2" xfId="0" applyNumberFormat="1" applyFont="1" applyBorder="1" applyAlignment="1"/>
    <xf numFmtId="0" fontId="13" fillId="2" borderId="3" xfId="0" applyFont="1" applyFill="1" applyBorder="1"/>
    <xf numFmtId="165" fontId="13" fillId="2" borderId="3" xfId="0" applyNumberFormat="1" applyFont="1" applyFill="1" applyBorder="1"/>
    <xf numFmtId="169" fontId="13" fillId="0" borderId="0" xfId="0" applyNumberFormat="1" applyFont="1" applyBorder="1" applyAlignment="1">
      <alignment horizontal="center"/>
    </xf>
    <xf numFmtId="0" fontId="13" fillId="0" borderId="0" xfId="0" applyFont="1" applyBorder="1" applyAlignment="1">
      <alignment horizontal="center"/>
    </xf>
    <xf numFmtId="169" fontId="13" fillId="0" borderId="0" xfId="0" applyNumberFormat="1" applyFont="1" applyBorder="1" applyAlignment="1">
      <alignment horizontal="left"/>
    </xf>
    <xf numFmtId="1" fontId="13" fillId="0" borderId="3" xfId="0" applyNumberFormat="1" applyFont="1" applyBorder="1"/>
    <xf numFmtId="2" fontId="13" fillId="0" borderId="0" xfId="0" quotePrefix="1" applyNumberFormat="1" applyFont="1" applyBorder="1" applyAlignment="1">
      <alignment horizontal="left" indent="1"/>
    </xf>
    <xf numFmtId="171" fontId="13" fillId="0" borderId="0" xfId="0" applyNumberFormat="1" applyFont="1" applyBorder="1" applyAlignment="1">
      <alignment horizontal="right" indent="1"/>
    </xf>
    <xf numFmtId="0" fontId="12" fillId="0" borderId="0" xfId="0" applyFont="1" applyFill="1" applyBorder="1" applyAlignment="1">
      <alignment horizontal="left"/>
    </xf>
    <xf numFmtId="2" fontId="13" fillId="0" borderId="0" xfId="0" applyNumberFormat="1" applyFont="1" applyBorder="1"/>
    <xf numFmtId="0" fontId="13" fillId="0" borderId="5" xfId="0" applyFont="1" applyBorder="1" applyProtection="1"/>
    <xf numFmtId="0" fontId="20" fillId="0" borderId="5" xfId="4" applyFont="1" applyBorder="1" applyProtection="1"/>
    <xf numFmtId="0" fontId="21" fillId="0" borderId="5" xfId="0" applyFont="1" applyBorder="1"/>
    <xf numFmtId="0" fontId="12" fillId="3" borderId="4" xfId="1" applyFont="1" applyFill="1" applyBorder="1" applyAlignment="1">
      <alignment horizontal="left" wrapText="1"/>
    </xf>
    <xf numFmtId="0" fontId="12" fillId="3" borderId="3" xfId="1" applyFont="1" applyFill="1" applyBorder="1" applyAlignment="1">
      <alignment horizontal="left" wrapText="1"/>
    </xf>
    <xf numFmtId="2" fontId="12" fillId="3" borderId="3" xfId="1" applyNumberFormat="1" applyFont="1" applyFill="1" applyBorder="1" applyAlignment="1">
      <alignment horizontal="left" wrapText="1"/>
    </xf>
    <xf numFmtId="0" fontId="12" fillId="0" borderId="5" xfId="1" applyFont="1" applyFill="1" applyBorder="1" applyAlignment="1">
      <alignment horizontal="left" wrapText="1"/>
    </xf>
    <xf numFmtId="0" fontId="12" fillId="0" borderId="0" xfId="1" applyFont="1" applyFill="1" applyBorder="1" applyAlignment="1">
      <alignment horizontal="left" wrapText="1"/>
    </xf>
    <xf numFmtId="2" fontId="12" fillId="0" borderId="8" xfId="1" applyNumberFormat="1" applyFont="1" applyFill="1" applyBorder="1" applyAlignment="1">
      <alignment horizontal="left" wrapText="1"/>
    </xf>
    <xf numFmtId="0" fontId="12" fillId="0" borderId="9" xfId="1" applyFont="1" applyFill="1" applyBorder="1" applyAlignment="1">
      <alignment horizontal="left" wrapText="1"/>
    </xf>
    <xf numFmtId="17" fontId="13" fillId="0" borderId="0" xfId="0" applyNumberFormat="1" applyFont="1" applyBorder="1" applyProtection="1"/>
    <xf numFmtId="17" fontId="12" fillId="0" borderId="0" xfId="0" applyNumberFormat="1" applyFont="1" applyBorder="1" applyAlignment="1" applyProtection="1">
      <alignment horizontal="center"/>
    </xf>
    <xf numFmtId="14" fontId="13" fillId="0" borderId="0" xfId="0" applyNumberFormat="1" applyFont="1" applyBorder="1" applyAlignment="1" applyProtection="1">
      <alignment horizontal="right" indent="1"/>
    </xf>
    <xf numFmtId="2" fontId="13" fillId="4" borderId="3" xfId="0" applyNumberFormat="1" applyFont="1" applyFill="1" applyBorder="1" applyAlignment="1" applyProtection="1">
      <alignment horizontal="center"/>
    </xf>
    <xf numFmtId="14" fontId="22" fillId="0" borderId="5" xfId="0" applyNumberFormat="1" applyFont="1" applyBorder="1" applyAlignment="1" applyProtection="1">
      <alignment horizontal="center"/>
    </xf>
    <xf numFmtId="17" fontId="24" fillId="0" borderId="0" xfId="0" applyNumberFormat="1" applyFont="1" applyBorder="1" applyProtection="1"/>
    <xf numFmtId="2" fontId="13" fillId="0" borderId="0" xfId="0" applyNumberFormat="1" applyFont="1" applyBorder="1" applyAlignment="1" applyProtection="1">
      <alignment horizontal="center"/>
    </xf>
    <xf numFmtId="2" fontId="13" fillId="0" borderId="0" xfId="0" applyNumberFormat="1" applyFont="1" applyBorder="1" applyAlignment="1" applyProtection="1">
      <alignment horizontal="right" indent="1"/>
    </xf>
    <xf numFmtId="2" fontId="12" fillId="0" borderId="0" xfId="1" applyNumberFormat="1" applyFont="1" applyFill="1" applyBorder="1" applyAlignment="1">
      <alignment horizontal="center" wrapText="1"/>
    </xf>
    <xf numFmtId="165" fontId="13" fillId="4" borderId="3" xfId="0" applyNumberFormat="1" applyFont="1" applyFill="1" applyBorder="1" applyAlignment="1" applyProtection="1">
      <alignment horizontal="center"/>
    </xf>
    <xf numFmtId="165" fontId="22" fillId="0" borderId="0" xfId="0" applyNumberFormat="1" applyFont="1" applyBorder="1" applyAlignment="1" applyProtection="1">
      <alignment horizontal="center"/>
    </xf>
    <xf numFmtId="165" fontId="13" fillId="0" borderId="0" xfId="0" applyNumberFormat="1" applyFont="1" applyBorder="1" applyAlignment="1" applyProtection="1">
      <alignment horizontal="center"/>
    </xf>
    <xf numFmtId="165" fontId="13" fillId="0" borderId="0" xfId="0" applyNumberFormat="1" applyFont="1" applyBorder="1" applyAlignment="1" applyProtection="1">
      <alignment horizontal="right" indent="1"/>
    </xf>
    <xf numFmtId="0" fontId="12" fillId="3" borderId="4" xfId="0" applyFont="1" applyFill="1" applyBorder="1"/>
    <xf numFmtId="3" fontId="12" fillId="3" borderId="8" xfId="0" applyNumberFormat="1" applyFont="1" applyFill="1" applyBorder="1"/>
    <xf numFmtId="0" fontId="12" fillId="3" borderId="8" xfId="0" applyFont="1" applyFill="1" applyBorder="1" applyProtection="1"/>
    <xf numFmtId="14" fontId="12" fillId="3" borderId="8" xfId="0" applyNumberFormat="1" applyFont="1" applyFill="1" applyBorder="1" applyAlignment="1" applyProtection="1">
      <alignment horizontal="right" indent="1"/>
    </xf>
    <xf numFmtId="2" fontId="12" fillId="3" borderId="1" xfId="0" applyNumberFormat="1" applyFont="1" applyFill="1" applyBorder="1" applyAlignment="1" applyProtection="1">
      <alignment horizontal="right" indent="1"/>
    </xf>
    <xf numFmtId="2" fontId="12" fillId="3" borderId="8" xfId="0" applyNumberFormat="1" applyFont="1" applyFill="1" applyBorder="1" applyAlignment="1" applyProtection="1">
      <alignment horizontal="right" indent="1"/>
    </xf>
    <xf numFmtId="173" fontId="0" fillId="0" borderId="0" xfId="0" applyNumberFormat="1" applyFont="1" applyBorder="1" applyAlignment="1">
      <alignment horizontal="left"/>
    </xf>
    <xf numFmtId="14" fontId="0" fillId="0" borderId="0" xfId="0" applyNumberFormat="1"/>
    <xf numFmtId="174" fontId="0" fillId="0" borderId="0" xfId="0" applyNumberFormat="1"/>
    <xf numFmtId="175" fontId="0" fillId="0" borderId="0" xfId="0" applyNumberFormat="1"/>
    <xf numFmtId="0" fontId="0" fillId="0" borderId="0" xfId="0" applyAlignment="1">
      <alignment wrapText="1"/>
    </xf>
    <xf numFmtId="0" fontId="4" fillId="0" borderId="0" xfId="0" applyNumberFormat="1" applyFont="1" applyAlignment="1">
      <alignment horizontal="left"/>
    </xf>
    <xf numFmtId="170" fontId="4" fillId="0" borderId="0" xfId="0" applyNumberFormat="1" applyFont="1" applyBorder="1"/>
    <xf numFmtId="169" fontId="0" fillId="0" borderId="0" xfId="0" applyNumberFormat="1"/>
    <xf numFmtId="44" fontId="12" fillId="3" borderId="3" xfId="5" applyFont="1" applyFill="1" applyBorder="1" applyAlignment="1" applyProtection="1">
      <alignment horizontal="right" indent="1"/>
    </xf>
    <xf numFmtId="176" fontId="13" fillId="0" borderId="6" xfId="5" applyNumberFormat="1" applyFont="1" applyBorder="1" applyAlignment="1" applyProtection="1">
      <alignment horizontal="right" indent="1"/>
    </xf>
    <xf numFmtId="176" fontId="12" fillId="0" borderId="6" xfId="5" applyNumberFormat="1" applyFont="1" applyFill="1" applyBorder="1" applyAlignment="1">
      <alignment horizontal="left" wrapText="1"/>
    </xf>
    <xf numFmtId="176" fontId="12" fillId="0" borderId="0" xfId="1" applyNumberFormat="1" applyFont="1" applyFill="1" applyBorder="1" applyAlignment="1">
      <alignment horizontal="left" wrapText="1"/>
    </xf>
    <xf numFmtId="176" fontId="12" fillId="0" borderId="0" xfId="0" applyNumberFormat="1" applyFont="1" applyBorder="1"/>
    <xf numFmtId="176" fontId="23" fillId="4" borderId="3" xfId="0" applyNumberFormat="1" applyFont="1" applyFill="1" applyBorder="1" applyProtection="1">
      <protection locked="0"/>
    </xf>
    <xf numFmtId="176" fontId="13" fillId="4" borderId="3" xfId="0" applyNumberFormat="1" applyFont="1" applyFill="1" applyBorder="1" applyProtection="1">
      <protection locked="0"/>
    </xf>
    <xf numFmtId="176" fontId="13" fillId="0" borderId="0" xfId="0" applyNumberFormat="1" applyFont="1" applyBorder="1"/>
    <xf numFmtId="176" fontId="21" fillId="4" borderId="3" xfId="3" applyNumberFormat="1" applyFont="1" applyFill="1" applyBorder="1"/>
    <xf numFmtId="165" fontId="12" fillId="0" borderId="0" xfId="1" applyNumberFormat="1" applyFont="1" applyFill="1" applyBorder="1" applyAlignment="1">
      <alignment horizontal="left" wrapText="1"/>
    </xf>
    <xf numFmtId="0" fontId="0" fillId="0" borderId="2" xfId="0" applyBorder="1" applyAlignment="1">
      <alignment horizontal="left"/>
    </xf>
    <xf numFmtId="0" fontId="4" fillId="0" borderId="2" xfId="0" applyFont="1" applyBorder="1"/>
    <xf numFmtId="0" fontId="4" fillId="0" borderId="17" xfId="0" applyFont="1" applyBorder="1"/>
    <xf numFmtId="0" fontId="17" fillId="4" borderId="7" xfId="0" applyFont="1" applyFill="1" applyBorder="1" applyAlignment="1">
      <alignment vertical="center"/>
    </xf>
    <xf numFmtId="0" fontId="18" fillId="4" borderId="7" xfId="0" applyFont="1" applyFill="1" applyBorder="1" applyAlignment="1" applyProtection="1">
      <protection locked="0"/>
    </xf>
    <xf numFmtId="0" fontId="13" fillId="0" borderId="2" xfId="0" applyFont="1" applyBorder="1" applyAlignment="1">
      <alignment wrapText="1"/>
    </xf>
    <xf numFmtId="0" fontId="17" fillId="0" borderId="2" xfId="0" applyFont="1" applyFill="1" applyBorder="1" applyAlignment="1">
      <alignment vertical="center"/>
    </xf>
    <xf numFmtId="0" fontId="13" fillId="0" borderId="17" xfId="0" applyFont="1" applyBorder="1" applyAlignment="1">
      <alignment horizontal="right" indent="1"/>
    </xf>
    <xf numFmtId="0" fontId="13" fillId="0" borderId="2" xfId="0" applyNumberFormat="1" applyFont="1" applyBorder="1" applyAlignment="1">
      <alignment horizontal="left"/>
    </xf>
    <xf numFmtId="177" fontId="13" fillId="0" borderId="0" xfId="0" applyNumberFormat="1" applyFont="1" applyBorder="1" applyProtection="1"/>
    <xf numFmtId="14" fontId="13" fillId="0" borderId="2" xfId="0" applyNumberFormat="1" applyFont="1" applyBorder="1" applyAlignment="1">
      <alignment horizontal="right" indent="1"/>
    </xf>
    <xf numFmtId="168" fontId="13" fillId="0" borderId="2" xfId="0" applyNumberFormat="1" applyFont="1" applyBorder="1" applyAlignment="1">
      <alignment horizontal="right" indent="1"/>
    </xf>
    <xf numFmtId="0" fontId="13" fillId="0" borderId="2" xfId="0" applyFont="1" applyBorder="1"/>
    <xf numFmtId="0" fontId="13" fillId="0" borderId="18" xfId="0" applyFont="1" applyBorder="1"/>
    <xf numFmtId="0" fontId="13" fillId="0" borderId="1" xfId="0" applyFont="1" applyBorder="1"/>
    <xf numFmtId="0" fontId="13" fillId="0" borderId="1" xfId="0" applyFont="1" applyBorder="1" applyAlignment="1">
      <alignment horizontal="right" indent="1"/>
    </xf>
    <xf numFmtId="2" fontId="13" fillId="0" borderId="1" xfId="0" applyNumberFormat="1" applyFont="1" applyBorder="1" applyAlignment="1">
      <alignment horizontal="right" indent="1"/>
    </xf>
    <xf numFmtId="1" fontId="13" fillId="4" borderId="3" xfId="0" applyNumberFormat="1" applyFont="1" applyFill="1" applyBorder="1" applyProtection="1">
      <protection locked="0"/>
    </xf>
    <xf numFmtId="1" fontId="13" fillId="0" borderId="5" xfId="0" applyNumberFormat="1" applyFont="1" applyBorder="1"/>
    <xf numFmtId="1" fontId="13" fillId="4" borderId="3" xfId="0" quotePrefix="1" applyNumberFormat="1" applyFont="1" applyFill="1" applyBorder="1" applyProtection="1">
      <protection locked="0"/>
    </xf>
    <xf numFmtId="1" fontId="13" fillId="2" borderId="5" xfId="0" applyNumberFormat="1" applyFont="1" applyFill="1" applyBorder="1"/>
    <xf numFmtId="0" fontId="17" fillId="4" borderId="4"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7" xfId="0" applyFont="1" applyFill="1" applyBorder="1" applyAlignment="1">
      <alignment horizontal="center" vertical="center"/>
    </xf>
    <xf numFmtId="0" fontId="13" fillId="0" borderId="5" xfId="0" applyFont="1" applyBorder="1" applyAlignment="1">
      <alignment horizontal="left" vertical="center" wrapText="1"/>
    </xf>
    <xf numFmtId="0" fontId="13" fillId="0" borderId="0" xfId="0" applyFont="1" applyBorder="1" applyAlignment="1">
      <alignment horizontal="left" vertical="center" wrapText="1"/>
    </xf>
    <xf numFmtId="0" fontId="13" fillId="0" borderId="2" xfId="0" applyFont="1" applyBorder="1" applyAlignment="1">
      <alignment horizontal="left" vertical="center" wrapText="1"/>
    </xf>
    <xf numFmtId="0" fontId="17" fillId="0" borderId="15"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6" xfId="0" applyFont="1" applyFill="1" applyBorder="1" applyAlignment="1">
      <alignment horizontal="center" vertical="center"/>
    </xf>
    <xf numFmtId="0" fontId="13" fillId="0" borderId="0" xfId="0" applyNumberFormat="1" applyFont="1" applyBorder="1" applyAlignment="1">
      <alignment horizontal="left"/>
    </xf>
    <xf numFmtId="2" fontId="13" fillId="0" borderId="4" xfId="0" quotePrefix="1" applyNumberFormat="1" applyFont="1" applyBorder="1" applyAlignment="1">
      <alignment horizontal="left"/>
    </xf>
    <xf numFmtId="2" fontId="13" fillId="0" borderId="7" xfId="0" quotePrefix="1" applyNumberFormat="1" applyFont="1" applyBorder="1" applyAlignment="1">
      <alignment horizontal="left"/>
    </xf>
    <xf numFmtId="169" fontId="13" fillId="2" borderId="15" xfId="0" applyNumberFormat="1" applyFont="1" applyFill="1" applyBorder="1" applyAlignment="1">
      <alignment horizontal="left" wrapText="1"/>
    </xf>
    <xf numFmtId="169" fontId="13" fillId="2" borderId="16" xfId="0" applyNumberFormat="1" applyFont="1" applyFill="1" applyBorder="1" applyAlignment="1">
      <alignment horizontal="left" wrapText="1"/>
    </xf>
    <xf numFmtId="169" fontId="13" fillId="2" borderId="4" xfId="0" applyNumberFormat="1" applyFont="1" applyFill="1" applyBorder="1" applyAlignment="1">
      <alignment horizontal="left"/>
    </xf>
    <xf numFmtId="169" fontId="13" fillId="2" borderId="7" xfId="0" applyNumberFormat="1" applyFont="1" applyFill="1" applyBorder="1" applyAlignment="1">
      <alignment horizontal="left"/>
    </xf>
    <xf numFmtId="0" fontId="2" fillId="4" borderId="4" xfId="0" applyFont="1" applyFill="1" applyBorder="1" applyAlignment="1">
      <alignment horizontal="left"/>
    </xf>
    <xf numFmtId="0" fontId="2" fillId="4" borderId="7" xfId="0" applyFont="1" applyFill="1" applyBorder="1" applyAlignment="1">
      <alignment horizontal="left"/>
    </xf>
  </cellXfs>
  <cellStyles count="6">
    <cellStyle name="Komma" xfId="3" builtinId="3"/>
    <cellStyle name="Link" xfId="4" builtinId="8"/>
    <cellStyle name="Normal" xfId="0" builtinId="0"/>
    <cellStyle name="Normal 2" xfId="2"/>
    <cellStyle name="Normal_Ark1" xfId="1"/>
    <cellStyle name="Valuta" xfId="5" builtinId="4"/>
  </cellStyles>
  <dxfs count="0"/>
  <tableStyles count="0" defaultTableStyle="TableStyleMedium2" defaultPivotStyle="PivotStyleLight16"/>
  <colors>
    <mruColors>
      <color rgb="FF44C8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1</xdr:col>
      <xdr:colOff>1284656</xdr:colOff>
      <xdr:row>1</xdr:row>
      <xdr:rowOff>695325</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2027606" cy="1047750"/>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st.dk/da/Statistik/emner/priser-og-forbrug/omkostningsindeks/byggeomkostningsindeks-for-bolig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2"/>
  <sheetViews>
    <sheetView showGridLines="0" tabSelected="1" topLeftCell="A70" zoomScaleNormal="100" workbookViewId="0">
      <selection activeCell="AQ94" sqref="AQ94"/>
    </sheetView>
  </sheetViews>
  <sheetFormatPr defaultRowHeight="15" x14ac:dyDescent="0.25"/>
  <cols>
    <col min="1" max="1" width="11.85546875" customWidth="1"/>
    <col min="2" max="2" width="21.42578125" bestFit="1" customWidth="1"/>
    <col min="3" max="3" width="12.7109375" customWidth="1"/>
    <col min="4" max="4" width="20.7109375" customWidth="1"/>
    <col min="5" max="5" width="20.7109375" style="11" customWidth="1"/>
    <col min="6" max="6" width="12.85546875" style="12" customWidth="1"/>
    <col min="7" max="7" width="12.42578125" style="11" customWidth="1"/>
    <col min="8" max="8" width="17.42578125" style="11" bestFit="1" customWidth="1"/>
    <col min="9" max="9" width="20.5703125" style="11" hidden="1" customWidth="1"/>
    <col min="10" max="10" width="19.7109375" hidden="1" customWidth="1"/>
    <col min="11" max="11" width="18.85546875" hidden="1" customWidth="1"/>
    <col min="12" max="12" width="28.140625" hidden="1" customWidth="1"/>
    <col min="13" max="13" width="11.85546875" hidden="1" customWidth="1"/>
    <col min="14" max="14" width="9.140625" hidden="1" customWidth="1"/>
    <col min="15" max="15" width="10.140625" hidden="1" customWidth="1"/>
    <col min="16" max="16" width="12.140625" hidden="1" customWidth="1"/>
    <col min="17" max="17" width="14.42578125" hidden="1" customWidth="1"/>
    <col min="18" max="18" width="12" hidden="1" customWidth="1"/>
    <col min="19" max="19" width="10.42578125" hidden="1" customWidth="1"/>
    <col min="20" max="20" width="9.140625" hidden="1" customWidth="1"/>
    <col min="21" max="21" width="11.28515625" hidden="1" customWidth="1"/>
    <col min="22" max="22" width="17" hidden="1" customWidth="1"/>
    <col min="23" max="29" width="9.140625" hidden="1" customWidth="1"/>
    <col min="30" max="30" width="14.42578125" hidden="1" customWidth="1"/>
    <col min="31" max="31" width="14.85546875" hidden="1" customWidth="1"/>
    <col min="32" max="32" width="24.7109375" hidden="1" customWidth="1"/>
    <col min="33" max="33" width="16.42578125" hidden="1" customWidth="1"/>
    <col min="34" max="34" width="18.28515625" hidden="1" customWidth="1"/>
    <col min="35" max="35" width="20" hidden="1" customWidth="1"/>
    <col min="36" max="36" width="6" hidden="1" customWidth="1"/>
    <col min="37" max="37" width="15.140625" hidden="1" customWidth="1"/>
    <col min="38" max="38" width="5" hidden="1" customWidth="1"/>
    <col min="39" max="64" width="9.140625" customWidth="1"/>
  </cols>
  <sheetData>
    <row r="1" spans="1:38" ht="31.5" customHeight="1" x14ac:dyDescent="0.35">
      <c r="A1" s="78"/>
      <c r="B1" s="79"/>
      <c r="C1" s="79"/>
      <c r="D1" s="79"/>
      <c r="E1" s="80"/>
      <c r="F1" s="81"/>
      <c r="G1" s="82"/>
      <c r="H1" s="83"/>
      <c r="I1" s="83"/>
      <c r="L1" s="144">
        <f>$G$12</f>
        <v>44197</v>
      </c>
      <c r="M1" s="145">
        <f>$G$12-DAY($L$1)+1</f>
        <v>44197</v>
      </c>
      <c r="N1" s="54">
        <f>$M$1-$P$1+$Q$1</f>
        <v>29</v>
      </c>
      <c r="O1" s="146">
        <f>IF(N1=-1,0,N1)</f>
        <v>29</v>
      </c>
      <c r="P1" s="147">
        <f>L$1</f>
        <v>44197</v>
      </c>
      <c r="Q1" s="148">
        <f>MAX(1,29)</f>
        <v>29</v>
      </c>
      <c r="R1">
        <f>ROUNDUP(MONTH($G$15)/3,0)</f>
        <v>2</v>
      </c>
      <c r="S1" s="145" t="s">
        <v>54</v>
      </c>
      <c r="T1">
        <f>ROUNDUP(MONTH($F$19)/3,0)</f>
        <v>3</v>
      </c>
      <c r="U1" s="145">
        <f>$G$15</f>
        <v>43966</v>
      </c>
      <c r="V1">
        <f>YEAR(U1)</f>
        <v>2020</v>
      </c>
      <c r="X1" t="s">
        <v>55</v>
      </c>
      <c r="Y1" t="s">
        <v>56</v>
      </c>
      <c r="Z1" t="s">
        <v>57</v>
      </c>
      <c r="AD1" s="149" t="s">
        <v>58</v>
      </c>
      <c r="AE1" s="150">
        <f>ROUND($E$25,1)</f>
        <v>-0.3</v>
      </c>
      <c r="AF1" t="s">
        <v>61</v>
      </c>
      <c r="AG1" t="s">
        <v>62</v>
      </c>
      <c r="AK1" s="151">
        <f>F19</f>
        <v>44058</v>
      </c>
      <c r="AL1">
        <f>YEAR(AK1)</f>
        <v>2020</v>
      </c>
    </row>
    <row r="2" spans="1:38" ht="60" customHeight="1" x14ac:dyDescent="0.25">
      <c r="A2" s="84"/>
      <c r="B2" s="55"/>
      <c r="C2" s="55"/>
      <c r="D2" s="55"/>
      <c r="E2" s="76"/>
      <c r="F2" s="77"/>
      <c r="G2" s="76"/>
      <c r="H2" s="85"/>
      <c r="I2" s="85"/>
      <c r="K2" s="57"/>
      <c r="L2" s="56"/>
      <c r="M2" s="63"/>
      <c r="N2" s="63"/>
      <c r="O2" s="55"/>
      <c r="P2" s="55"/>
      <c r="Q2" s="55"/>
      <c r="R2" s="55"/>
      <c r="S2" s="55"/>
      <c r="T2" s="55"/>
      <c r="U2" s="55"/>
      <c r="V2" s="55"/>
      <c r="W2" s="55"/>
      <c r="X2" s="55"/>
      <c r="Y2" s="55"/>
      <c r="Z2" s="55"/>
      <c r="AA2" s="55"/>
    </row>
    <row r="3" spans="1:38" ht="60" customHeight="1" x14ac:dyDescent="0.25">
      <c r="A3" s="183" t="s">
        <v>49</v>
      </c>
      <c r="B3" s="184"/>
      <c r="C3" s="184"/>
      <c r="D3" s="184"/>
      <c r="E3" s="184"/>
      <c r="F3" s="184"/>
      <c r="G3" s="184"/>
      <c r="H3" s="185"/>
      <c r="I3" s="165"/>
      <c r="K3" s="57"/>
      <c r="L3" s="56"/>
      <c r="M3" s="63"/>
      <c r="N3" s="63"/>
      <c r="O3" s="55"/>
      <c r="P3" s="55"/>
      <c r="Q3" s="55"/>
      <c r="R3" s="55"/>
      <c r="S3" s="55"/>
      <c r="T3" s="55"/>
      <c r="U3" s="55"/>
      <c r="V3" s="55"/>
      <c r="W3" s="55"/>
      <c r="X3" s="55"/>
      <c r="Y3" s="55"/>
      <c r="Z3" s="55"/>
      <c r="AA3" s="55"/>
    </row>
    <row r="4" spans="1:38" ht="15" customHeight="1" x14ac:dyDescent="0.25">
      <c r="A4" s="189"/>
      <c r="B4" s="190"/>
      <c r="C4" s="190"/>
      <c r="D4" s="190"/>
      <c r="E4" s="190"/>
      <c r="F4" s="190"/>
      <c r="G4" s="190"/>
      <c r="H4" s="191"/>
      <c r="I4" s="168"/>
      <c r="K4" s="57"/>
      <c r="L4" s="56"/>
      <c r="M4" s="63"/>
      <c r="N4" s="63"/>
      <c r="O4" s="55"/>
      <c r="P4" s="55"/>
      <c r="Q4" s="55"/>
      <c r="R4" s="55"/>
      <c r="S4" s="55"/>
      <c r="T4" s="55"/>
      <c r="U4" s="55"/>
      <c r="V4" s="55"/>
      <c r="W4" s="55"/>
      <c r="X4" s="55"/>
      <c r="Y4" s="55"/>
      <c r="Z4" s="55"/>
      <c r="AA4" s="55"/>
    </row>
    <row r="5" spans="1:38" ht="15.75" x14ac:dyDescent="0.25">
      <c r="A5" s="92" t="s">
        <v>0</v>
      </c>
      <c r="B5" s="93"/>
      <c r="C5" s="93"/>
      <c r="D5" s="93"/>
      <c r="E5" s="94"/>
      <c r="F5" s="95" t="s">
        <v>1</v>
      </c>
      <c r="G5" s="199"/>
      <c r="H5" s="200"/>
      <c r="I5" s="166"/>
      <c r="K5" s="56"/>
      <c r="L5" s="56"/>
      <c r="M5" s="56"/>
      <c r="N5" s="56"/>
      <c r="O5" s="55"/>
      <c r="P5" s="55"/>
      <c r="Q5" s="55"/>
      <c r="R5" s="55"/>
      <c r="S5" s="55"/>
      <c r="T5" s="55"/>
      <c r="U5" s="55"/>
      <c r="V5" s="55"/>
      <c r="W5" s="55"/>
      <c r="X5" s="55"/>
      <c r="Y5" s="55"/>
      <c r="Z5" s="55"/>
      <c r="AA5" s="55"/>
    </row>
    <row r="6" spans="1:38" s="1" customFormat="1" ht="12.75" x14ac:dyDescent="0.2">
      <c r="A6" s="5"/>
      <c r="B6" s="56"/>
      <c r="C6" s="56"/>
      <c r="D6" s="56"/>
      <c r="E6" s="86"/>
      <c r="F6" s="87"/>
      <c r="G6" s="86"/>
      <c r="H6" s="88"/>
      <c r="I6" s="88"/>
      <c r="K6" s="56"/>
      <c r="L6" s="56"/>
      <c r="M6" s="56"/>
      <c r="N6" s="56"/>
      <c r="O6" s="56"/>
      <c r="P6" s="56"/>
      <c r="Q6" s="56"/>
      <c r="R6" s="56"/>
      <c r="S6" s="56"/>
      <c r="T6" s="56"/>
      <c r="U6" s="56"/>
      <c r="V6" s="56"/>
      <c r="W6" s="56"/>
      <c r="X6" s="56"/>
      <c r="Y6" s="56"/>
      <c r="Z6" s="56"/>
      <c r="AA6" s="56"/>
    </row>
    <row r="7" spans="1:38" s="1" customFormat="1" ht="30" customHeight="1" x14ac:dyDescent="0.25">
      <c r="A7" s="186" t="s">
        <v>66</v>
      </c>
      <c r="B7" s="187"/>
      <c r="C7" s="187"/>
      <c r="D7" s="187"/>
      <c r="E7" s="187"/>
      <c r="F7" s="187"/>
      <c r="G7" s="187"/>
      <c r="H7" s="188"/>
      <c r="I7" s="167"/>
      <c r="K7" s="64"/>
      <c r="L7" s="65"/>
      <c r="M7" s="61"/>
      <c r="N7" s="61"/>
      <c r="O7" s="56"/>
      <c r="P7" s="56"/>
      <c r="Q7" s="56"/>
      <c r="R7" s="56"/>
      <c r="S7" s="56"/>
      <c r="T7" s="56"/>
      <c r="U7" s="56"/>
      <c r="V7" s="56"/>
      <c r="W7" s="56"/>
      <c r="X7" s="56"/>
      <c r="Y7" s="56"/>
      <c r="Z7" s="56"/>
      <c r="AA7" s="56"/>
    </row>
    <row r="8" spans="1:38" s="1" customFormat="1" ht="12.75" x14ac:dyDescent="0.2">
      <c r="A8" s="96"/>
      <c r="B8" s="59"/>
      <c r="C8" s="59"/>
      <c r="D8" s="59"/>
      <c r="E8" s="90"/>
      <c r="F8" s="97"/>
      <c r="G8" s="90"/>
      <c r="H8" s="91"/>
      <c r="I8" s="91"/>
      <c r="K8" s="56"/>
      <c r="L8" s="56"/>
      <c r="M8" s="56"/>
      <c r="N8" s="56"/>
      <c r="O8" s="56"/>
      <c r="P8" s="56"/>
      <c r="Q8" s="56"/>
      <c r="R8" s="56"/>
      <c r="S8" s="56"/>
      <c r="T8" s="56"/>
      <c r="U8" s="56"/>
      <c r="V8" s="56"/>
      <c r="W8" s="56"/>
      <c r="X8" s="56"/>
      <c r="Y8" s="56"/>
      <c r="Z8" s="56"/>
      <c r="AA8" s="56"/>
    </row>
    <row r="9" spans="1:38" s="1" customFormat="1" ht="12.75" x14ac:dyDescent="0.2">
      <c r="A9" s="96" t="s">
        <v>30</v>
      </c>
      <c r="B9" s="59"/>
      <c r="C9" s="59"/>
      <c r="D9" s="59"/>
      <c r="E9" s="90"/>
      <c r="F9" s="97"/>
      <c r="G9" s="90"/>
      <c r="H9" s="91"/>
      <c r="I9" s="91"/>
      <c r="K9" s="56"/>
      <c r="L9" s="56"/>
      <c r="M9" s="56"/>
      <c r="N9" s="56"/>
      <c r="O9" s="56"/>
      <c r="P9" s="56"/>
      <c r="Q9" s="56"/>
      <c r="R9" s="56"/>
      <c r="S9" s="56"/>
      <c r="T9" s="56"/>
      <c r="U9" s="56"/>
      <c r="V9" s="56"/>
      <c r="W9" s="56"/>
      <c r="X9" s="56"/>
      <c r="Y9" s="56"/>
      <c r="Z9" s="56"/>
      <c r="AA9" s="56"/>
    </row>
    <row r="10" spans="1:38" s="1" customFormat="1" ht="12.75" x14ac:dyDescent="0.2">
      <c r="A10" s="96"/>
      <c r="B10" s="59"/>
      <c r="C10" s="59"/>
      <c r="D10" s="59"/>
      <c r="E10" s="90"/>
      <c r="F10" s="97"/>
      <c r="G10" s="90"/>
      <c r="H10" s="91"/>
      <c r="I10" s="91"/>
      <c r="K10" s="56"/>
      <c r="L10" s="56"/>
      <c r="M10" s="56"/>
      <c r="N10" s="56"/>
      <c r="O10" s="56"/>
      <c r="P10" s="56"/>
      <c r="Q10" s="56"/>
      <c r="R10" s="56"/>
      <c r="S10" s="56"/>
      <c r="T10" s="56"/>
      <c r="U10" s="56"/>
      <c r="V10" s="56"/>
      <c r="W10" s="56"/>
      <c r="X10" s="56"/>
      <c r="Y10" s="56"/>
      <c r="Z10" s="56"/>
      <c r="AA10" s="56"/>
    </row>
    <row r="11" spans="1:38" s="1" customFormat="1" ht="12.75" x14ac:dyDescent="0.2">
      <c r="A11" s="96" t="s">
        <v>50</v>
      </c>
      <c r="B11" s="59"/>
      <c r="C11" s="59"/>
      <c r="D11" s="59"/>
      <c r="E11" s="90"/>
      <c r="F11" s="97"/>
      <c r="G11" s="98">
        <v>43831</v>
      </c>
      <c r="H11" s="172"/>
      <c r="I11" s="91"/>
      <c r="K11" s="60"/>
      <c r="L11" s="56"/>
      <c r="M11" s="56"/>
      <c r="N11" s="56"/>
      <c r="O11" s="56"/>
      <c r="P11" s="56"/>
      <c r="Q11" s="56"/>
      <c r="R11" s="56"/>
      <c r="S11" s="56"/>
      <c r="T11" s="56"/>
      <c r="U11" s="56"/>
      <c r="V11" s="56"/>
      <c r="W11" s="56"/>
      <c r="X11" s="56"/>
      <c r="Y11" s="56"/>
      <c r="Z11" s="56"/>
      <c r="AA11" s="56"/>
    </row>
    <row r="12" spans="1:38" s="1" customFormat="1" ht="12.75" x14ac:dyDescent="0.2">
      <c r="A12" s="96" t="s">
        <v>59</v>
      </c>
      <c r="B12" s="59"/>
      <c r="C12" s="59"/>
      <c r="D12" s="59"/>
      <c r="E12" s="90"/>
      <c r="F12" s="97"/>
      <c r="G12" s="100">
        <f>EDATE($G$11,12)</f>
        <v>44197</v>
      </c>
      <c r="H12" s="91"/>
      <c r="I12" s="91"/>
      <c r="K12" s="60"/>
      <c r="L12" s="56"/>
      <c r="M12" s="56"/>
      <c r="N12" s="56"/>
      <c r="O12" s="56"/>
      <c r="P12" s="62"/>
      <c r="Q12" s="56"/>
      <c r="R12" s="56"/>
      <c r="S12" s="56"/>
      <c r="T12" s="56"/>
      <c r="U12" s="56"/>
      <c r="V12" s="56"/>
      <c r="W12" s="56"/>
      <c r="X12" s="56"/>
      <c r="Y12" s="56"/>
      <c r="Z12" s="56"/>
      <c r="AA12" s="56"/>
    </row>
    <row r="13" spans="1:38" s="1" customFormat="1" ht="12.75" x14ac:dyDescent="0.2">
      <c r="A13" s="96"/>
      <c r="B13" s="59"/>
      <c r="C13" s="59"/>
      <c r="D13" s="59"/>
      <c r="E13" s="90"/>
      <c r="F13" s="97"/>
      <c r="G13" s="99"/>
      <c r="H13" s="91"/>
      <c r="I13" s="91"/>
      <c r="K13" s="60"/>
      <c r="L13" s="56"/>
      <c r="M13" s="56"/>
      <c r="N13" s="56"/>
      <c r="O13" s="56"/>
      <c r="P13" s="62"/>
      <c r="Q13" s="56"/>
      <c r="R13" s="56"/>
      <c r="S13" s="56"/>
      <c r="T13" s="56"/>
      <c r="U13" s="56"/>
      <c r="V13" s="56"/>
      <c r="W13" s="56"/>
      <c r="X13" s="56"/>
      <c r="Y13" s="56"/>
      <c r="Z13" s="56"/>
      <c r="AA13" s="56"/>
    </row>
    <row r="14" spans="1:38" s="1" customFormat="1" ht="12.75" x14ac:dyDescent="0.2">
      <c r="A14" s="96" t="s">
        <v>60</v>
      </c>
      <c r="B14" s="59"/>
      <c r="C14" s="59"/>
      <c r="D14" s="59"/>
      <c r="E14" s="90"/>
      <c r="F14" s="97"/>
      <c r="G14" s="100">
        <f>EDATE($G$11,6)</f>
        <v>44013</v>
      </c>
      <c r="H14" s="101"/>
      <c r="I14" s="101"/>
      <c r="J14" s="71"/>
      <c r="K14" s="57"/>
      <c r="L14" s="56"/>
      <c r="M14" s="63"/>
      <c r="N14" s="63"/>
      <c r="O14" s="63"/>
      <c r="P14" s="56"/>
      <c r="Q14" s="57"/>
      <c r="R14" s="56"/>
      <c r="S14" s="56"/>
      <c r="T14" s="56"/>
      <c r="U14" s="56"/>
      <c r="V14" s="56"/>
      <c r="W14" s="56"/>
      <c r="X14" s="56"/>
      <c r="Y14" s="56"/>
      <c r="Z14" s="56"/>
      <c r="AA14" s="56"/>
    </row>
    <row r="15" spans="1:38" s="1" customFormat="1" x14ac:dyDescent="0.25">
      <c r="A15" s="96" t="s">
        <v>52</v>
      </c>
      <c r="B15" s="59"/>
      <c r="C15" s="59"/>
      <c r="D15" s="59"/>
      <c r="E15" s="59"/>
      <c r="F15" s="103"/>
      <c r="G15" s="102">
        <f>U73</f>
        <v>43966</v>
      </c>
      <c r="H15" s="104"/>
      <c r="I15" s="104"/>
      <c r="K15" s="56"/>
      <c r="L15" s="56"/>
      <c r="M15" s="56"/>
      <c r="N15" s="56"/>
      <c r="O15" s="56"/>
      <c r="P15" s="56"/>
      <c r="Q15" s="58"/>
      <c r="R15" s="56"/>
      <c r="S15" s="56"/>
      <c r="T15" s="56"/>
      <c r="U15" s="56"/>
      <c r="V15" s="56"/>
      <c r="W15" s="56"/>
      <c r="X15" s="56"/>
      <c r="Y15" s="56"/>
      <c r="Z15" s="56"/>
      <c r="AA15" s="56"/>
    </row>
    <row r="16" spans="1:38" s="1" customFormat="1" x14ac:dyDescent="0.25">
      <c r="A16" s="96"/>
      <c r="B16" s="59"/>
      <c r="C16" s="59"/>
      <c r="D16" s="59"/>
      <c r="E16" s="90"/>
      <c r="F16" s="97"/>
      <c r="G16" s="90"/>
      <c r="H16" s="91"/>
      <c r="I16" s="91"/>
      <c r="K16" s="64"/>
      <c r="L16" s="65"/>
      <c r="M16" s="61"/>
      <c r="N16" s="61"/>
      <c r="O16" s="61"/>
      <c r="P16" s="56"/>
      <c r="Q16" s="58"/>
      <c r="R16" s="56"/>
      <c r="S16" s="56"/>
      <c r="T16" s="56"/>
      <c r="U16" s="56"/>
      <c r="V16" s="56"/>
      <c r="W16" s="56"/>
      <c r="X16" s="56"/>
      <c r="Y16" s="56"/>
      <c r="Z16" s="56"/>
      <c r="AA16" s="56"/>
    </row>
    <row r="17" spans="1:39" s="1" customFormat="1" x14ac:dyDescent="0.25">
      <c r="A17" s="96" t="s">
        <v>51</v>
      </c>
      <c r="B17" s="59"/>
      <c r="C17" s="59"/>
      <c r="D17" s="59"/>
      <c r="E17" s="90"/>
      <c r="F17" s="97"/>
      <c r="G17" s="90"/>
      <c r="H17" s="91"/>
      <c r="I17" s="91"/>
      <c r="K17" s="61"/>
      <c r="L17" s="61"/>
      <c r="M17" s="61"/>
      <c r="N17" s="61"/>
      <c r="O17" s="61"/>
      <c r="P17" s="56"/>
      <c r="Q17" s="56"/>
      <c r="R17" s="56"/>
      <c r="S17" s="56"/>
      <c r="T17" s="56"/>
      <c r="U17" s="56"/>
      <c r="V17" s="56"/>
      <c r="W17" s="56"/>
      <c r="X17" s="56"/>
      <c r="Y17" s="56"/>
      <c r="Z17" s="56"/>
      <c r="AA17" s="56"/>
    </row>
    <row r="18" spans="1:39" s="1" customFormat="1" ht="12.75" x14ac:dyDescent="0.2">
      <c r="A18" s="96" t="s">
        <v>27</v>
      </c>
      <c r="B18" s="59"/>
      <c r="C18" s="59"/>
      <c r="D18" s="114" t="str">
        <f>CONCATENATE($V$1,$S$1,$R$1)</f>
        <v>2020K2</v>
      </c>
      <c r="E18" s="105">
        <f>SUM($K$37:$K$125)</f>
        <v>106.1</v>
      </c>
      <c r="F18" s="195">
        <f>$G$15</f>
        <v>43966</v>
      </c>
      <c r="G18" s="196"/>
      <c r="H18" s="91"/>
      <c r="I18" s="91"/>
      <c r="K18" s="56"/>
      <c r="L18" s="56"/>
      <c r="M18" s="56"/>
      <c r="N18" s="56"/>
      <c r="O18" s="56"/>
      <c r="P18" s="56"/>
      <c r="Q18" s="56"/>
      <c r="R18" s="56"/>
      <c r="S18" s="56"/>
      <c r="T18" s="56"/>
      <c r="U18" s="56"/>
      <c r="V18" s="56"/>
      <c r="W18" s="56"/>
      <c r="X18" s="56"/>
      <c r="Y18" s="56"/>
      <c r="Z18" s="56"/>
      <c r="AA18" s="56"/>
    </row>
    <row r="19" spans="1:39" s="1" customFormat="1" ht="12.75" x14ac:dyDescent="0.2">
      <c r="A19" s="96" t="s">
        <v>27</v>
      </c>
      <c r="B19" s="59"/>
      <c r="C19" s="59"/>
      <c r="D19" s="114" t="str">
        <f>CONCATENATE($AL$1,$S$1,$T$1)</f>
        <v>2020K3</v>
      </c>
      <c r="E19" s="106">
        <f>SUM($L$37:$L$125)</f>
        <v>105.6</v>
      </c>
      <c r="F19" s="197">
        <f>EDATE($F$18,3)</f>
        <v>44058</v>
      </c>
      <c r="G19" s="198"/>
      <c r="H19" s="91"/>
      <c r="I19" s="91"/>
      <c r="K19" s="56"/>
      <c r="L19" s="56"/>
      <c r="M19" s="56"/>
      <c r="N19" s="56"/>
      <c r="O19" s="56"/>
      <c r="P19" s="56"/>
      <c r="Q19" s="56"/>
      <c r="R19" s="56"/>
      <c r="S19" s="56"/>
      <c r="T19" s="56"/>
      <c r="U19" s="56"/>
      <c r="V19" s="56"/>
      <c r="W19" s="56"/>
      <c r="X19" s="56"/>
      <c r="Y19" s="56"/>
      <c r="Z19" s="56"/>
      <c r="AA19" s="56"/>
    </row>
    <row r="20" spans="1:39" s="1" customFormat="1" ht="12.75" x14ac:dyDescent="0.2">
      <c r="A20" s="96" t="s">
        <v>37</v>
      </c>
      <c r="B20" s="107">
        <f>F18</f>
        <v>43966</v>
      </c>
      <c r="C20" s="108" t="s">
        <v>38</v>
      </c>
      <c r="D20" s="109">
        <f>G14</f>
        <v>44013</v>
      </c>
      <c r="E20" s="110">
        <f xml:space="preserve"> -DAYS360($G$14,$G$15)</f>
        <v>46</v>
      </c>
      <c r="F20" s="193" t="s">
        <v>48</v>
      </c>
      <c r="G20" s="194"/>
      <c r="H20" s="91"/>
      <c r="I20" s="91"/>
      <c r="K20" s="60"/>
      <c r="L20" s="56"/>
      <c r="M20" s="56"/>
      <c r="N20" s="56"/>
      <c r="O20" s="56"/>
      <c r="P20" s="56"/>
      <c r="Q20" s="56"/>
      <c r="R20" s="56"/>
      <c r="S20" s="56"/>
      <c r="T20" s="56"/>
      <c r="U20" s="56"/>
      <c r="V20" s="56"/>
      <c r="W20" s="56"/>
      <c r="X20" s="56"/>
      <c r="Y20" s="56"/>
      <c r="Z20" s="56"/>
      <c r="AA20" s="56"/>
    </row>
    <row r="21" spans="1:39" s="1" customFormat="1" ht="12.75" x14ac:dyDescent="0.2">
      <c r="A21" s="96" t="s">
        <v>29</v>
      </c>
      <c r="B21" s="59"/>
      <c r="C21" s="59"/>
      <c r="D21" s="59"/>
      <c r="E21" s="90"/>
      <c r="F21" s="111"/>
      <c r="G21" s="90"/>
      <c r="H21" s="91"/>
      <c r="I21" s="91"/>
      <c r="K21" s="60"/>
      <c r="L21" s="56"/>
      <c r="M21" s="56"/>
      <c r="N21" s="56"/>
      <c r="O21" s="56"/>
      <c r="P21" s="56"/>
      <c r="Q21" s="56"/>
      <c r="R21" s="56"/>
      <c r="S21" s="56"/>
      <c r="T21" s="56"/>
      <c r="U21" s="56"/>
      <c r="V21" s="56"/>
      <c r="W21" s="56"/>
      <c r="X21" s="56"/>
      <c r="Y21" s="56"/>
      <c r="Z21" s="56"/>
      <c r="AA21" s="56"/>
    </row>
    <row r="22" spans="1:39" s="1" customFormat="1" ht="12.75" x14ac:dyDescent="0.2">
      <c r="A22" s="96"/>
      <c r="B22" s="59"/>
      <c r="C22" s="59"/>
      <c r="D22" s="59"/>
      <c r="E22" s="90"/>
      <c r="F22" s="111"/>
      <c r="G22" s="90"/>
      <c r="H22" s="91"/>
      <c r="I22" s="91"/>
      <c r="K22" s="60"/>
      <c r="L22" s="56"/>
      <c r="M22" s="56"/>
      <c r="N22" s="56"/>
      <c r="O22" s="56"/>
      <c r="P22" s="56"/>
      <c r="Q22" s="56"/>
      <c r="R22" s="56"/>
      <c r="S22" s="56"/>
      <c r="T22" s="56"/>
      <c r="U22" s="56"/>
      <c r="V22" s="56"/>
      <c r="W22" s="56"/>
      <c r="X22" s="56"/>
      <c r="Y22" s="56"/>
      <c r="Z22" s="56"/>
      <c r="AA22" s="56"/>
    </row>
    <row r="23" spans="1:39" s="1" customFormat="1" ht="12.75" x14ac:dyDescent="0.2">
      <c r="A23" s="96" t="s">
        <v>28</v>
      </c>
      <c r="B23" s="59"/>
      <c r="C23" s="59"/>
      <c r="D23" s="59"/>
      <c r="E23" s="90"/>
      <c r="F23" s="111"/>
      <c r="G23" s="90"/>
      <c r="H23" s="91"/>
      <c r="I23" s="91"/>
      <c r="K23" s="56"/>
      <c r="L23" s="56"/>
      <c r="M23" s="56"/>
      <c r="N23" s="56"/>
      <c r="O23" s="56"/>
      <c r="P23" s="56"/>
      <c r="Q23" s="56"/>
      <c r="R23" s="56"/>
      <c r="S23" s="56"/>
      <c r="T23" s="56"/>
      <c r="U23" s="56"/>
      <c r="V23" s="56"/>
      <c r="W23" s="56"/>
      <c r="X23" s="56"/>
      <c r="Y23" s="56"/>
      <c r="Z23" s="56"/>
      <c r="AA23" s="56"/>
    </row>
    <row r="24" spans="1:39" s="1" customFormat="1" ht="12.75" x14ac:dyDescent="0.2">
      <c r="A24" s="96"/>
      <c r="B24" s="59"/>
      <c r="C24" s="59"/>
      <c r="D24" s="59"/>
      <c r="E24" s="90"/>
      <c r="F24" s="111"/>
      <c r="G24" s="90"/>
      <c r="H24" s="91"/>
      <c r="I24" s="91"/>
      <c r="K24" s="56"/>
      <c r="L24" s="56"/>
      <c r="M24" s="56"/>
      <c r="N24" s="56"/>
      <c r="O24" s="56"/>
      <c r="P24" s="56"/>
      <c r="Q24" s="56"/>
      <c r="R24" s="56"/>
      <c r="S24" s="56"/>
      <c r="T24" s="56"/>
      <c r="U24" s="56"/>
      <c r="V24" s="56"/>
      <c r="W24" s="56"/>
      <c r="X24" s="56"/>
      <c r="Y24" s="56"/>
      <c r="Z24" s="56"/>
      <c r="AA24" s="56"/>
    </row>
    <row r="25" spans="1:39" s="1" customFormat="1" x14ac:dyDescent="0.25">
      <c r="A25" s="96" t="str">
        <f>CONCATENATE("De ",E20," dage giver et tillæg til indeksdagen for ",E18," på.")</f>
        <v>De 46 dage giver et tillæg til indeksdagen for 106,1 på.</v>
      </c>
      <c r="B25" s="59"/>
      <c r="C25" s="59"/>
      <c r="D25" s="59"/>
      <c r="E25" s="112">
        <f>((+$E$19-$E$18)/90)*$E$20</f>
        <v>-0.25555555555555559</v>
      </c>
      <c r="F25" s="192" t="str">
        <f>CONCATENATE(AD1,N( AE1))</f>
        <v>som afrundes til -0,3</v>
      </c>
      <c r="G25" s="192"/>
      <c r="H25" s="173"/>
      <c r="I25" s="170"/>
      <c r="J25" s="5"/>
      <c r="K25" s="64"/>
      <c r="L25" s="65"/>
      <c r="M25" s="61"/>
      <c r="N25" s="61"/>
      <c r="O25" s="61"/>
      <c r="P25" s="61"/>
      <c r="Q25" s="66"/>
      <c r="R25" s="67"/>
      <c r="S25" s="61"/>
      <c r="T25" s="61"/>
      <c r="U25" s="61"/>
      <c r="V25" s="61"/>
      <c r="W25" s="61"/>
      <c r="X25" s="56"/>
      <c r="Y25" s="56"/>
      <c r="Z25" s="56"/>
      <c r="AA25" s="56"/>
      <c r="AM25" s="56"/>
    </row>
    <row r="26" spans="1:39" s="53" customFormat="1" x14ac:dyDescent="0.25">
      <c r="A26" s="89" t="s">
        <v>31</v>
      </c>
      <c r="B26" s="59"/>
      <c r="C26" s="59"/>
      <c r="D26" s="59"/>
      <c r="E26" s="68">
        <f>E18</f>
        <v>106.1</v>
      </c>
      <c r="F26" s="69">
        <f xml:space="preserve"> $AE$1</f>
        <v>-0.3</v>
      </c>
      <c r="G26" s="70">
        <f>$E$26+F26</f>
        <v>105.8</v>
      </c>
      <c r="H26" s="91"/>
      <c r="I26" s="91"/>
      <c r="K26" s="61"/>
      <c r="L26" s="61"/>
      <c r="M26" s="61"/>
      <c r="N26" s="61"/>
      <c r="O26" s="61"/>
      <c r="P26" s="61"/>
      <c r="Q26" s="61"/>
      <c r="R26" s="61"/>
      <c r="S26" s="61"/>
      <c r="T26" s="61"/>
      <c r="U26" s="61"/>
      <c r="V26" s="61"/>
      <c r="W26" s="61"/>
      <c r="X26" s="59"/>
      <c r="Y26" s="59"/>
      <c r="Z26" s="59"/>
      <c r="AA26" s="59"/>
    </row>
    <row r="27" spans="1:39" s="1" customFormat="1" ht="12.75" x14ac:dyDescent="0.2">
      <c r="A27" s="96"/>
      <c r="B27" s="59"/>
      <c r="C27" s="59"/>
      <c r="D27" s="113"/>
      <c r="E27" s="90"/>
      <c r="F27" s="114"/>
      <c r="G27" s="90"/>
      <c r="H27" s="174"/>
      <c r="I27" s="91"/>
      <c r="K27" s="56"/>
      <c r="L27" s="56"/>
      <c r="M27" s="56"/>
      <c r="N27" s="56"/>
      <c r="O27" s="56"/>
      <c r="P27" s="56"/>
      <c r="Q27" s="56"/>
      <c r="R27" s="56"/>
      <c r="S27" s="56"/>
      <c r="T27" s="56"/>
      <c r="U27" s="56"/>
      <c r="V27" s="56"/>
      <c r="W27" s="56"/>
      <c r="X27" s="56"/>
      <c r="Y27" s="56"/>
      <c r="Z27" s="56"/>
      <c r="AA27" s="56"/>
    </row>
    <row r="28" spans="1:39" s="1" customFormat="1" ht="12.75" x14ac:dyDescent="0.2">
      <c r="A28" s="96" t="str">
        <f>CONCATENATE(X1,TEXT(L1," mmmmmmmm åååå,"))</f>
        <v>Betaling for arbejder i januar 2021,</v>
      </c>
      <c r="B28" s="59"/>
      <c r="C28" s="59" t="str">
        <f>CONCATENATE(Y1,TEXT(G12," dd. mmmmmmmm åååå,"), AF1,$O$1,AG1)</f>
        <v>kan kun reguleres for den del, der ligger efter 01. januar 2021, hvilket er 29 dage  (er indarbejdet i regnearket).</v>
      </c>
      <c r="D28" s="59"/>
      <c r="E28" s="90"/>
      <c r="F28" s="114"/>
      <c r="G28" s="90"/>
      <c r="H28" s="174"/>
      <c r="I28" s="91"/>
      <c r="J28" s="5"/>
      <c r="K28" s="56"/>
      <c r="L28" s="56"/>
      <c r="M28" s="56"/>
      <c r="N28" s="56"/>
      <c r="O28" s="56"/>
      <c r="P28" s="56"/>
      <c r="Q28" s="56"/>
      <c r="R28" s="56"/>
      <c r="S28" s="56"/>
      <c r="T28" s="56"/>
      <c r="U28" s="56"/>
      <c r="V28" s="56"/>
      <c r="W28" s="56"/>
      <c r="X28" s="56"/>
      <c r="Y28" s="56"/>
      <c r="Z28" s="56"/>
      <c r="AA28" s="56"/>
    </row>
    <row r="29" spans="1:39" s="1" customFormat="1" ht="12.75" x14ac:dyDescent="0.2">
      <c r="A29" s="115"/>
      <c r="B29" s="59"/>
      <c r="C29" s="59"/>
      <c r="D29" s="59"/>
      <c r="E29" s="90"/>
      <c r="F29" s="114"/>
      <c r="G29" s="90"/>
      <c r="H29" s="174"/>
      <c r="I29" s="91"/>
      <c r="J29" s="5"/>
      <c r="K29" s="60"/>
      <c r="L29" s="56"/>
      <c r="M29" s="56"/>
      <c r="N29" s="56"/>
      <c r="O29" s="56"/>
      <c r="P29" s="56"/>
      <c r="Q29" s="56"/>
      <c r="R29" s="56"/>
      <c r="S29" s="56"/>
      <c r="T29" s="56"/>
      <c r="U29" s="56"/>
      <c r="V29" s="56"/>
      <c r="W29" s="56"/>
      <c r="X29" s="56"/>
      <c r="Y29" s="56"/>
      <c r="Z29" s="56"/>
      <c r="AA29" s="56"/>
    </row>
    <row r="30" spans="1:39" s="1" customFormat="1" ht="12.75" x14ac:dyDescent="0.2">
      <c r="A30" s="115" t="s">
        <v>53</v>
      </c>
      <c r="B30" s="59"/>
      <c r="C30" s="59"/>
      <c r="D30" s="59"/>
      <c r="E30" s="90"/>
      <c r="F30" s="114"/>
      <c r="G30" s="90"/>
      <c r="H30" s="174"/>
      <c r="I30" s="91"/>
      <c r="J30" s="5"/>
      <c r="K30" s="60"/>
      <c r="L30" s="56"/>
      <c r="M30" s="56"/>
      <c r="N30" s="56"/>
      <c r="O30" s="56"/>
      <c r="P30" s="56"/>
      <c r="Q30" s="56"/>
      <c r="R30" s="56"/>
      <c r="S30" s="56"/>
      <c r="T30" s="56"/>
      <c r="U30" s="56"/>
      <c r="V30" s="56"/>
      <c r="W30" s="56"/>
      <c r="X30" s="56"/>
      <c r="Y30" s="56"/>
      <c r="Z30" s="56"/>
      <c r="AA30" s="56"/>
    </row>
    <row r="31" spans="1:39" s="1" customFormat="1" ht="12.75" x14ac:dyDescent="0.2">
      <c r="A31" s="116" t="s">
        <v>39</v>
      </c>
      <c r="B31" s="59"/>
      <c r="C31" s="59"/>
      <c r="D31" s="59"/>
      <c r="E31" s="90"/>
      <c r="F31" s="114"/>
      <c r="G31" s="90"/>
      <c r="H31" s="174"/>
      <c r="I31" s="91"/>
      <c r="J31" s="5"/>
      <c r="K31" s="60"/>
      <c r="L31" s="56"/>
      <c r="M31" s="56"/>
      <c r="N31" s="56"/>
      <c r="O31" s="56"/>
      <c r="P31" s="56"/>
      <c r="Q31" s="56"/>
      <c r="R31" s="56"/>
      <c r="S31" s="56"/>
      <c r="T31" s="56"/>
      <c r="U31" s="56"/>
      <c r="V31" s="56"/>
      <c r="W31" s="56"/>
      <c r="X31" s="56"/>
      <c r="Y31" s="56"/>
      <c r="Z31" s="56"/>
      <c r="AA31" s="56"/>
    </row>
    <row r="32" spans="1:39" s="1" customFormat="1" ht="12.75" x14ac:dyDescent="0.2">
      <c r="A32" s="116"/>
      <c r="B32" s="59"/>
      <c r="C32" s="59"/>
      <c r="D32" s="59"/>
      <c r="E32" s="90"/>
      <c r="F32" s="114"/>
      <c r="G32" s="90"/>
      <c r="H32" s="174"/>
      <c r="I32" s="91"/>
      <c r="J32" s="5"/>
      <c r="K32" s="60"/>
      <c r="L32" s="56"/>
      <c r="M32" s="56"/>
      <c r="N32" s="56"/>
      <c r="O32" s="56"/>
      <c r="P32" s="56"/>
      <c r="Q32" s="56"/>
      <c r="R32" s="56"/>
      <c r="S32" s="56"/>
      <c r="T32" s="56"/>
      <c r="U32" s="56"/>
      <c r="V32" s="56"/>
      <c r="W32" s="56"/>
      <c r="X32" s="56"/>
      <c r="Y32" s="56"/>
      <c r="Z32" s="56"/>
      <c r="AA32" s="56"/>
    </row>
    <row r="33" spans="1:27" s="1" customFormat="1" ht="12.75" x14ac:dyDescent="0.2">
      <c r="A33" s="117" t="s">
        <v>63</v>
      </c>
      <c r="B33" s="59"/>
      <c r="C33" s="59"/>
      <c r="D33" s="59"/>
      <c r="E33" s="90"/>
      <c r="F33" s="114"/>
      <c r="G33" s="90"/>
      <c r="H33" s="174"/>
      <c r="I33" s="91"/>
      <c r="J33" s="5"/>
      <c r="K33" s="60"/>
      <c r="L33" s="56"/>
      <c r="M33" s="56"/>
      <c r="N33" s="56"/>
      <c r="O33" s="56"/>
      <c r="P33" s="56"/>
      <c r="Q33" s="56"/>
      <c r="R33" s="56"/>
      <c r="S33" s="56"/>
      <c r="T33" s="56"/>
      <c r="U33" s="56"/>
      <c r="V33" s="56"/>
      <c r="W33" s="56"/>
      <c r="X33" s="56"/>
      <c r="Y33" s="56"/>
      <c r="Z33" s="56"/>
      <c r="AA33" s="56"/>
    </row>
    <row r="34" spans="1:27" s="1" customFormat="1" ht="17.25" customHeight="1" x14ac:dyDescent="0.2">
      <c r="A34" s="175"/>
      <c r="B34" s="176"/>
      <c r="C34" s="176"/>
      <c r="D34" s="176"/>
      <c r="E34" s="177"/>
      <c r="F34" s="178"/>
      <c r="G34" s="177"/>
      <c r="H34" s="169"/>
      <c r="I34" s="91"/>
      <c r="J34" s="5"/>
      <c r="K34" s="56"/>
      <c r="L34" s="56"/>
      <c r="M34" s="56"/>
      <c r="N34" s="56"/>
      <c r="O34" s="56"/>
      <c r="P34" s="56"/>
      <c r="Q34" s="56"/>
      <c r="R34" s="56"/>
      <c r="S34" s="56"/>
      <c r="T34" s="56"/>
      <c r="U34" s="56"/>
      <c r="V34" s="56"/>
      <c r="W34" s="56"/>
      <c r="X34" s="56"/>
      <c r="Y34" s="56"/>
      <c r="Z34" s="56"/>
      <c r="AA34" s="56"/>
    </row>
    <row r="35" spans="1:27" s="4" customFormat="1" ht="26.25" x14ac:dyDescent="0.25">
      <c r="A35" s="118" t="s">
        <v>2</v>
      </c>
      <c r="B35" s="118" t="s">
        <v>3</v>
      </c>
      <c r="C35" s="118" t="s">
        <v>4</v>
      </c>
      <c r="D35" s="118" t="s">
        <v>10</v>
      </c>
      <c r="E35" s="120" t="s">
        <v>64</v>
      </c>
      <c r="F35" s="119" t="s">
        <v>32</v>
      </c>
      <c r="G35" s="118" t="s">
        <v>5</v>
      </c>
      <c r="H35" s="119" t="s">
        <v>65</v>
      </c>
      <c r="I35" s="162"/>
      <c r="J35" s="61"/>
      <c r="K35" s="61"/>
      <c r="L35" s="61"/>
      <c r="M35" s="61"/>
      <c r="N35" s="61"/>
      <c r="O35" s="61"/>
      <c r="P35" s="61"/>
      <c r="Q35" s="61"/>
      <c r="R35" s="61"/>
      <c r="S35" s="61"/>
      <c r="T35" s="61"/>
      <c r="U35" s="61"/>
      <c r="V35" s="61"/>
      <c r="W35" s="61"/>
      <c r="X35" s="61"/>
      <c r="Y35" s="61"/>
      <c r="Z35" s="61"/>
    </row>
    <row r="36" spans="1:27" s="4" customFormat="1" x14ac:dyDescent="0.25">
      <c r="A36" s="121"/>
      <c r="B36" s="155"/>
      <c r="C36" s="122"/>
      <c r="D36" s="122"/>
      <c r="E36" s="123"/>
      <c r="F36" s="124"/>
      <c r="G36" s="161"/>
      <c r="H36" s="154"/>
      <c r="I36" s="162"/>
      <c r="J36" s="61"/>
      <c r="K36" s="61"/>
      <c r="L36" s="61"/>
      <c r="M36" s="61"/>
      <c r="N36" s="61"/>
      <c r="O36" s="61"/>
      <c r="P36" s="61"/>
      <c r="Q36" s="61"/>
      <c r="R36" s="61"/>
      <c r="S36" s="61"/>
      <c r="T36" s="61"/>
      <c r="U36" s="61"/>
      <c r="V36" s="61"/>
      <c r="W36" s="61"/>
      <c r="X36" s="61"/>
      <c r="Y36" s="61"/>
      <c r="Z36" s="61"/>
    </row>
    <row r="37" spans="1:27" s="1" customFormat="1" ht="12.75" x14ac:dyDescent="0.2">
      <c r="A37" s="96"/>
      <c r="B37" s="156"/>
      <c r="C37" s="125"/>
      <c r="D37" s="126" t="s">
        <v>7</v>
      </c>
      <c r="E37" s="128">
        <v>104.4</v>
      </c>
      <c r="F37" s="129"/>
      <c r="G37" s="135"/>
      <c r="H37" s="153"/>
      <c r="I37" s="163"/>
      <c r="J37" s="56"/>
      <c r="K37" s="56"/>
      <c r="L37" s="56"/>
      <c r="M37" s="56"/>
      <c r="N37" s="56"/>
      <c r="O37" s="56"/>
      <c r="P37" s="62">
        <f>G14</f>
        <v>44013</v>
      </c>
      <c r="Q37" s="72"/>
      <c r="R37" s="56"/>
      <c r="S37" s="56"/>
      <c r="T37" s="56"/>
      <c r="U37" s="56"/>
      <c r="V37" s="56"/>
      <c r="W37" s="56"/>
      <c r="X37" s="56"/>
      <c r="Y37" s="56"/>
      <c r="Z37" s="56"/>
    </row>
    <row r="38" spans="1:27" s="1" customFormat="1" ht="12.75" x14ac:dyDescent="0.2">
      <c r="A38" s="179"/>
      <c r="B38" s="157"/>
      <c r="C38" s="171">
        <v>43374</v>
      </c>
      <c r="D38" s="130" t="str">
        <f>IF(I38=TRUE,"Første a'conto efter fastprisperioden indtastes her"," ")</f>
        <v xml:space="preserve"> </v>
      </c>
      <c r="E38" s="131"/>
      <c r="F38" s="127">
        <v>43388</v>
      </c>
      <c r="G38" s="137">
        <f>ROUND(E37+(E41-E37)/3*2,1)</f>
        <v>104.7</v>
      </c>
      <c r="H38" s="153">
        <f>(B38*(G38-G$26)/G$26)/30*J38</f>
        <v>0</v>
      </c>
      <c r="I38" s="163" t="b">
        <f t="shared" ref="I38:I69" si="0">IF(C38=$M$1,TRUE,FALSE)</f>
        <v>0</v>
      </c>
      <c r="J38" s="56">
        <f>IF(I38=TRUE,$O$1,30)</f>
        <v>30</v>
      </c>
      <c r="K38" s="56">
        <f t="shared" ref="K38:K69" si="1">IF(D38=$D$18,E38,0)</f>
        <v>0</v>
      </c>
      <c r="L38" s="56">
        <f t="shared" ref="L38:L69" si="2">IF(D38=$D$19,E38,0)</f>
        <v>0</v>
      </c>
      <c r="M38" s="56"/>
      <c r="N38" s="56"/>
      <c r="O38" s="62">
        <v>43327</v>
      </c>
      <c r="P38" s="72">
        <f>IF($P$37&lt;O38,1,2)</f>
        <v>2</v>
      </c>
      <c r="Q38" s="56">
        <f>IF(P38=2,1,-100000)</f>
        <v>1</v>
      </c>
      <c r="R38" s="72">
        <f>SUM(O38:Q38)</f>
        <v>43330</v>
      </c>
      <c r="S38" s="56">
        <f>LARGE($R$38:$R$72,1)</f>
        <v>43969</v>
      </c>
      <c r="T38" s="56">
        <f>IF(S38=R38,1,2)</f>
        <v>2</v>
      </c>
      <c r="U38" s="62">
        <f>IF(T38=1,O38,0)</f>
        <v>0</v>
      </c>
      <c r="V38" s="56"/>
      <c r="W38" s="56"/>
      <c r="X38" s="56"/>
      <c r="Y38" s="56"/>
      <c r="Z38" s="56"/>
    </row>
    <row r="39" spans="1:27" s="1" customFormat="1" ht="12.75" x14ac:dyDescent="0.2">
      <c r="A39" s="179"/>
      <c r="B39" s="157"/>
      <c r="C39" s="171">
        <v>43405</v>
      </c>
      <c r="D39" s="130" t="str">
        <f>IF(I39=TRUE,"Første a'conto efter fastprisperioden indtastes her"," ")</f>
        <v xml:space="preserve"> </v>
      </c>
      <c r="E39" s="131"/>
      <c r="F39" s="127">
        <v>43419</v>
      </c>
      <c r="G39" s="137">
        <f>ROUND(E37+(E41-E37)/3*3,1)</f>
        <v>104.8</v>
      </c>
      <c r="H39" s="153">
        <f>(B39*(G39-G$26)/G$26)/30*J39</f>
        <v>0</v>
      </c>
      <c r="I39" s="163" t="b">
        <f t="shared" si="0"/>
        <v>0</v>
      </c>
      <c r="J39" s="56">
        <f t="shared" ref="J39:J102" si="3">IF(I39=TRUE,$O$1,30)</f>
        <v>30</v>
      </c>
      <c r="K39" s="56">
        <f t="shared" si="1"/>
        <v>0</v>
      </c>
      <c r="L39" s="56">
        <f t="shared" si="2"/>
        <v>0</v>
      </c>
      <c r="O39" s="71">
        <v>43419</v>
      </c>
      <c r="P39" s="72">
        <f t="shared" ref="P39:P72" si="4">IF($P$37&lt;O39,1,2)</f>
        <v>2</v>
      </c>
      <c r="Q39" s="56">
        <f t="shared" ref="Q39:Q72" si="5">IF(P39=2,1,-100000)</f>
        <v>1</v>
      </c>
      <c r="R39" s="72">
        <f t="shared" ref="R39:R72" si="6">SUM(O39:Q39)</f>
        <v>43422</v>
      </c>
      <c r="S39" s="56">
        <f t="shared" ref="S39:S72" si="7">LARGE($R$38:$R$72,1)</f>
        <v>43969</v>
      </c>
      <c r="T39" s="56">
        <f t="shared" ref="T39:T72" si="8">IF(S39=R39,1,2)</f>
        <v>2</v>
      </c>
      <c r="U39" s="62">
        <f t="shared" ref="U39:U72" si="9">IF(T39=1,O39,0)</f>
        <v>0</v>
      </c>
    </row>
    <row r="40" spans="1:27" s="1" customFormat="1" ht="12.75" x14ac:dyDescent="0.2">
      <c r="A40" s="179"/>
      <c r="B40" s="158"/>
      <c r="C40" s="171">
        <v>43435</v>
      </c>
      <c r="D40" s="130" t="str">
        <f>IF(I40=TRUE,"Første a'conto efter fastprisperioden indtastes her"," ")</f>
        <v xml:space="preserve"> </v>
      </c>
      <c r="E40" s="131"/>
      <c r="F40" s="127">
        <v>43449</v>
      </c>
      <c r="G40" s="137">
        <f>ROUND(E41+(E45-E41)/3,1)</f>
        <v>104.8</v>
      </c>
      <c r="H40" s="153">
        <f>(B40*(G40-G$26)/G$26)/30*J40</f>
        <v>0</v>
      </c>
      <c r="I40" s="163" t="b">
        <f t="shared" si="0"/>
        <v>0</v>
      </c>
      <c r="J40" s="56">
        <f t="shared" si="3"/>
        <v>30</v>
      </c>
      <c r="K40" s="56">
        <f t="shared" si="1"/>
        <v>0</v>
      </c>
      <c r="L40" s="56">
        <f t="shared" si="2"/>
        <v>0</v>
      </c>
      <c r="O40" s="71">
        <v>43511</v>
      </c>
      <c r="P40" s="72">
        <f t="shared" si="4"/>
        <v>2</v>
      </c>
      <c r="Q40" s="56">
        <f t="shared" si="5"/>
        <v>1</v>
      </c>
      <c r="R40" s="72">
        <f t="shared" si="6"/>
        <v>43514</v>
      </c>
      <c r="S40" s="56">
        <f t="shared" si="7"/>
        <v>43969</v>
      </c>
      <c r="T40" s="56">
        <f t="shared" si="8"/>
        <v>2</v>
      </c>
      <c r="U40" s="62">
        <f t="shared" si="9"/>
        <v>0</v>
      </c>
    </row>
    <row r="41" spans="1:27" s="1" customFormat="1" ht="12.75" x14ac:dyDescent="0.2">
      <c r="A41" s="180"/>
      <c r="B41" s="159"/>
      <c r="C41" s="171"/>
      <c r="D41" s="133" t="s">
        <v>8</v>
      </c>
      <c r="E41" s="128">
        <v>104.8</v>
      </c>
      <c r="F41" s="127"/>
      <c r="G41" s="137"/>
      <c r="H41" s="153"/>
      <c r="I41" s="163" t="b">
        <f t="shared" si="0"/>
        <v>0</v>
      </c>
      <c r="J41" s="56">
        <f t="shared" si="3"/>
        <v>30</v>
      </c>
      <c r="K41" s="56">
        <f t="shared" si="1"/>
        <v>0</v>
      </c>
      <c r="L41" s="56">
        <f t="shared" si="2"/>
        <v>0</v>
      </c>
      <c r="O41" s="71">
        <v>43600</v>
      </c>
      <c r="P41" s="72">
        <f t="shared" si="4"/>
        <v>2</v>
      </c>
      <c r="Q41" s="56">
        <f t="shared" si="5"/>
        <v>1</v>
      </c>
      <c r="R41" s="72">
        <f t="shared" si="6"/>
        <v>43603</v>
      </c>
      <c r="S41" s="56">
        <f t="shared" si="7"/>
        <v>43969</v>
      </c>
      <c r="T41" s="56">
        <f t="shared" si="8"/>
        <v>2</v>
      </c>
      <c r="U41" s="62">
        <f t="shared" si="9"/>
        <v>0</v>
      </c>
    </row>
    <row r="42" spans="1:27" s="1" customFormat="1" ht="12.75" x14ac:dyDescent="0.2">
      <c r="A42" s="179"/>
      <c r="B42" s="158"/>
      <c r="C42" s="171">
        <v>43466</v>
      </c>
      <c r="D42" s="130" t="str">
        <f>IF(I42=TRUE,"Første a'conto efter fastprisperioden indtastes her"," ")</f>
        <v xml:space="preserve"> </v>
      </c>
      <c r="E42" s="131"/>
      <c r="F42" s="127">
        <v>43480</v>
      </c>
      <c r="G42" s="137">
        <f>ROUND($E$41+($E$45-$E$41)/3*2,1)</f>
        <v>104.7</v>
      </c>
      <c r="H42" s="153">
        <f>(B42*(G42-G$26)/G$26)/30*J42</f>
        <v>0</v>
      </c>
      <c r="I42" s="163" t="b">
        <f t="shared" si="0"/>
        <v>0</v>
      </c>
      <c r="J42" s="56">
        <f t="shared" si="3"/>
        <v>30</v>
      </c>
      <c r="K42" s="56">
        <f t="shared" si="1"/>
        <v>0</v>
      </c>
      <c r="L42" s="56">
        <f t="shared" si="2"/>
        <v>0</v>
      </c>
      <c r="O42" s="62">
        <v>43692</v>
      </c>
      <c r="P42" s="72">
        <f t="shared" si="4"/>
        <v>2</v>
      </c>
      <c r="Q42" s="56">
        <f t="shared" si="5"/>
        <v>1</v>
      </c>
      <c r="R42" s="72">
        <f t="shared" si="6"/>
        <v>43695</v>
      </c>
      <c r="S42" s="56">
        <f t="shared" si="7"/>
        <v>43969</v>
      </c>
      <c r="T42" s="56">
        <f t="shared" si="8"/>
        <v>2</v>
      </c>
      <c r="U42" s="62">
        <f t="shared" si="9"/>
        <v>0</v>
      </c>
    </row>
    <row r="43" spans="1:27" s="1" customFormat="1" ht="12.75" x14ac:dyDescent="0.2">
      <c r="A43" s="179"/>
      <c r="B43" s="158"/>
      <c r="C43" s="171">
        <v>43497</v>
      </c>
      <c r="D43" s="130" t="str">
        <f>IF(I43=TRUE,"Første a'conto efter fastprisperioden indtastes her"," ")</f>
        <v xml:space="preserve"> </v>
      </c>
      <c r="E43" s="131"/>
      <c r="F43" s="127">
        <v>43511</v>
      </c>
      <c r="G43" s="137">
        <f>ROUND($E$41+($E$45-$E$41)/3*3,1)</f>
        <v>104.7</v>
      </c>
      <c r="H43" s="153">
        <f>(B43*(G43-G$26)/G$26)/30*J43</f>
        <v>0</v>
      </c>
      <c r="I43" s="163" t="b">
        <f t="shared" si="0"/>
        <v>0</v>
      </c>
      <c r="J43" s="56">
        <f t="shared" si="3"/>
        <v>30</v>
      </c>
      <c r="K43" s="56">
        <f t="shared" si="1"/>
        <v>0</v>
      </c>
      <c r="L43" s="56">
        <f t="shared" si="2"/>
        <v>0</v>
      </c>
      <c r="O43" s="71">
        <v>43784</v>
      </c>
      <c r="P43" s="72">
        <f t="shared" si="4"/>
        <v>2</v>
      </c>
      <c r="Q43" s="56">
        <f t="shared" si="5"/>
        <v>1</v>
      </c>
      <c r="R43" s="72">
        <f t="shared" si="6"/>
        <v>43787</v>
      </c>
      <c r="S43" s="56">
        <f t="shared" si="7"/>
        <v>43969</v>
      </c>
      <c r="T43" s="56">
        <f t="shared" si="8"/>
        <v>2</v>
      </c>
      <c r="U43" s="62">
        <f t="shared" si="9"/>
        <v>0</v>
      </c>
    </row>
    <row r="44" spans="1:27" s="1" customFormat="1" ht="12.75" x14ac:dyDescent="0.2">
      <c r="A44" s="179"/>
      <c r="B44" s="158"/>
      <c r="C44" s="171">
        <v>43525</v>
      </c>
      <c r="D44" s="130" t="str">
        <f>IF(I44=TRUE,"Første a'conto efter fastprisperioden indtastes her"," ")</f>
        <v xml:space="preserve"> </v>
      </c>
      <c r="E44" s="131"/>
      <c r="F44" s="127">
        <v>43539</v>
      </c>
      <c r="G44" s="137">
        <f>ROUND($E$45+($E$49-$E$45)/3,1)</f>
        <v>104.9</v>
      </c>
      <c r="H44" s="153">
        <f>(B44*(G44-G$26)/G$26)/30*J44</f>
        <v>0</v>
      </c>
      <c r="I44" s="163" t="b">
        <f t="shared" si="0"/>
        <v>0</v>
      </c>
      <c r="J44" s="56">
        <f t="shared" si="3"/>
        <v>30</v>
      </c>
      <c r="K44" s="56">
        <f t="shared" si="1"/>
        <v>0</v>
      </c>
      <c r="L44" s="56">
        <f t="shared" si="2"/>
        <v>0</v>
      </c>
      <c r="O44" s="71">
        <v>43876</v>
      </c>
      <c r="P44" s="72">
        <f t="shared" si="4"/>
        <v>2</v>
      </c>
      <c r="Q44" s="56">
        <f t="shared" si="5"/>
        <v>1</v>
      </c>
      <c r="R44" s="72">
        <f t="shared" si="6"/>
        <v>43879</v>
      </c>
      <c r="S44" s="56">
        <f t="shared" si="7"/>
        <v>43969</v>
      </c>
      <c r="T44" s="56">
        <f t="shared" si="8"/>
        <v>2</v>
      </c>
      <c r="U44" s="62">
        <f t="shared" si="9"/>
        <v>0</v>
      </c>
    </row>
    <row r="45" spans="1:27" s="1" customFormat="1" ht="12.75" x14ac:dyDescent="0.2">
      <c r="A45" s="180"/>
      <c r="B45" s="159"/>
      <c r="C45" s="171"/>
      <c r="D45" s="133" t="s">
        <v>9</v>
      </c>
      <c r="E45" s="128">
        <v>104.7</v>
      </c>
      <c r="F45" s="127"/>
      <c r="G45" s="137"/>
      <c r="H45" s="153"/>
      <c r="I45" s="163" t="b">
        <f t="shared" si="0"/>
        <v>0</v>
      </c>
      <c r="J45" s="56">
        <f t="shared" si="3"/>
        <v>30</v>
      </c>
      <c r="K45" s="56">
        <f t="shared" si="1"/>
        <v>0</v>
      </c>
      <c r="L45" s="56">
        <f t="shared" si="2"/>
        <v>0</v>
      </c>
      <c r="O45" s="71">
        <v>43966</v>
      </c>
      <c r="P45" s="72">
        <f t="shared" si="4"/>
        <v>2</v>
      </c>
      <c r="Q45" s="56">
        <f t="shared" si="5"/>
        <v>1</v>
      </c>
      <c r="R45" s="72">
        <f>SUM(O45:Q45)</f>
        <v>43969</v>
      </c>
      <c r="S45" s="56">
        <f t="shared" si="7"/>
        <v>43969</v>
      </c>
      <c r="T45" s="56">
        <f t="shared" si="8"/>
        <v>1</v>
      </c>
      <c r="U45" s="62">
        <f t="shared" si="9"/>
        <v>43966</v>
      </c>
    </row>
    <row r="46" spans="1:27" s="1" customFormat="1" ht="12.75" x14ac:dyDescent="0.2">
      <c r="A46" s="179"/>
      <c r="B46" s="158"/>
      <c r="C46" s="171">
        <v>43556</v>
      </c>
      <c r="D46" s="130" t="str">
        <f>IF(I46=TRUE,"Første a'conto efter fastprisperioden indtastes her"," ")</f>
        <v xml:space="preserve"> </v>
      </c>
      <c r="E46" s="131"/>
      <c r="F46" s="127">
        <v>43570</v>
      </c>
      <c r="G46" s="137">
        <f>ROUND($E$45+($E$49-$E$45)/3*2,1)</f>
        <v>105</v>
      </c>
      <c r="H46" s="153">
        <f>(B46*(G46-G$26)/G$26)/30*J46</f>
        <v>0</v>
      </c>
      <c r="I46" s="163" t="b">
        <f t="shared" si="0"/>
        <v>0</v>
      </c>
      <c r="J46" s="56">
        <f t="shared" si="3"/>
        <v>30</v>
      </c>
      <c r="K46" s="56">
        <f t="shared" si="1"/>
        <v>0</v>
      </c>
      <c r="L46" s="56">
        <f t="shared" si="2"/>
        <v>0</v>
      </c>
      <c r="O46" s="62">
        <v>44058</v>
      </c>
      <c r="P46" s="72">
        <f t="shared" si="4"/>
        <v>1</v>
      </c>
      <c r="Q46" s="56">
        <f t="shared" si="5"/>
        <v>-100000</v>
      </c>
      <c r="R46" s="72">
        <f t="shared" si="6"/>
        <v>-55941</v>
      </c>
      <c r="S46" s="56">
        <f t="shared" si="7"/>
        <v>43969</v>
      </c>
      <c r="T46" s="56">
        <f t="shared" si="8"/>
        <v>2</v>
      </c>
      <c r="U46" s="62">
        <f t="shared" si="9"/>
        <v>0</v>
      </c>
    </row>
    <row r="47" spans="1:27" s="1" customFormat="1" ht="12.75" x14ac:dyDescent="0.2">
      <c r="A47" s="179"/>
      <c r="B47" s="158"/>
      <c r="C47" s="171">
        <v>43586</v>
      </c>
      <c r="D47" s="130" t="str">
        <f>IF(I47=TRUE,"Første a'conto efter fastprisperioden indtastes her"," ")</f>
        <v xml:space="preserve"> </v>
      </c>
      <c r="E47" s="131"/>
      <c r="F47" s="127">
        <v>43600</v>
      </c>
      <c r="G47" s="137">
        <f>ROUND($E$45+($E$49-$E$45)/3*3,1)</f>
        <v>105.2</v>
      </c>
      <c r="H47" s="153">
        <f>(B47*(G47-G$26)/G$26)/30*J47</f>
        <v>0</v>
      </c>
      <c r="I47" s="163" t="b">
        <f t="shared" si="0"/>
        <v>0</v>
      </c>
      <c r="J47" s="56">
        <f t="shared" si="3"/>
        <v>30</v>
      </c>
      <c r="K47" s="56">
        <f t="shared" si="1"/>
        <v>0</v>
      </c>
      <c r="L47" s="56">
        <f t="shared" si="2"/>
        <v>0</v>
      </c>
      <c r="O47" s="71">
        <v>44150</v>
      </c>
      <c r="P47" s="72">
        <f t="shared" si="4"/>
        <v>1</v>
      </c>
      <c r="Q47" s="56">
        <f t="shared" si="5"/>
        <v>-100000</v>
      </c>
      <c r="R47" s="72">
        <f t="shared" si="6"/>
        <v>-55849</v>
      </c>
      <c r="S47" s="56">
        <f t="shared" si="7"/>
        <v>43969</v>
      </c>
      <c r="T47" s="56">
        <f t="shared" si="8"/>
        <v>2</v>
      </c>
      <c r="U47" s="62">
        <f t="shared" si="9"/>
        <v>0</v>
      </c>
    </row>
    <row r="48" spans="1:27" s="1" customFormat="1" ht="12.75" x14ac:dyDescent="0.2">
      <c r="A48" s="179"/>
      <c r="B48" s="158"/>
      <c r="C48" s="171">
        <v>43617</v>
      </c>
      <c r="D48" s="130" t="str">
        <f>IF(I48=TRUE,"Første a'conto efter fastprisperioden indtastes her"," ")</f>
        <v xml:space="preserve"> </v>
      </c>
      <c r="E48" s="131"/>
      <c r="F48" s="127">
        <v>43631</v>
      </c>
      <c r="G48" s="137">
        <f>ROUND($E$49+($E$53-$E$49)/3,1)</f>
        <v>105.1</v>
      </c>
      <c r="H48" s="153">
        <f>(B48*(G48-G$26)/G$26)/30*J48</f>
        <v>0</v>
      </c>
      <c r="I48" s="163" t="b">
        <f t="shared" si="0"/>
        <v>0</v>
      </c>
      <c r="J48" s="56">
        <f t="shared" si="3"/>
        <v>30</v>
      </c>
      <c r="K48" s="56">
        <f t="shared" si="1"/>
        <v>0</v>
      </c>
      <c r="L48" s="56">
        <f t="shared" si="2"/>
        <v>0</v>
      </c>
      <c r="O48" s="71">
        <v>44242</v>
      </c>
      <c r="P48" s="72">
        <f t="shared" si="4"/>
        <v>1</v>
      </c>
      <c r="Q48" s="56">
        <f t="shared" si="5"/>
        <v>-100000</v>
      </c>
      <c r="R48" s="72">
        <f t="shared" si="6"/>
        <v>-55757</v>
      </c>
      <c r="S48" s="56">
        <f t="shared" si="7"/>
        <v>43969</v>
      </c>
      <c r="T48" s="56">
        <f t="shared" si="8"/>
        <v>2</v>
      </c>
      <c r="U48" s="62">
        <f t="shared" si="9"/>
        <v>0</v>
      </c>
    </row>
    <row r="49" spans="1:21" s="1" customFormat="1" ht="12.75" x14ac:dyDescent="0.2">
      <c r="A49" s="180"/>
      <c r="B49" s="159"/>
      <c r="C49" s="171"/>
      <c r="D49" s="133" t="s">
        <v>11</v>
      </c>
      <c r="E49" s="128">
        <v>105.2</v>
      </c>
      <c r="F49" s="127"/>
      <c r="G49" s="137"/>
      <c r="H49" s="153"/>
      <c r="I49" s="163" t="b">
        <f t="shared" si="0"/>
        <v>0</v>
      </c>
      <c r="J49" s="56">
        <f t="shared" si="3"/>
        <v>30</v>
      </c>
      <c r="K49" s="56">
        <f t="shared" si="1"/>
        <v>0</v>
      </c>
      <c r="L49" s="56">
        <f t="shared" si="2"/>
        <v>0</v>
      </c>
      <c r="O49" s="71">
        <v>44331</v>
      </c>
      <c r="P49" s="72">
        <f t="shared" si="4"/>
        <v>1</v>
      </c>
      <c r="Q49" s="56">
        <f t="shared" si="5"/>
        <v>-100000</v>
      </c>
      <c r="R49" s="72">
        <f t="shared" si="6"/>
        <v>-55668</v>
      </c>
      <c r="S49" s="56">
        <f t="shared" si="7"/>
        <v>43969</v>
      </c>
      <c r="T49" s="56">
        <f t="shared" si="8"/>
        <v>2</v>
      </c>
      <c r="U49" s="62">
        <f t="shared" si="9"/>
        <v>0</v>
      </c>
    </row>
    <row r="50" spans="1:21" s="1" customFormat="1" ht="12.75" x14ac:dyDescent="0.2">
      <c r="A50" s="179"/>
      <c r="B50" s="158"/>
      <c r="C50" s="171">
        <v>43647</v>
      </c>
      <c r="D50" s="130" t="str">
        <f>IF(I50=TRUE,"Første a'conto efter fastprisperioden indtastes her"," ")</f>
        <v xml:space="preserve"> </v>
      </c>
      <c r="E50" s="131"/>
      <c r="F50" s="127">
        <v>43661</v>
      </c>
      <c r="G50" s="137">
        <f>ROUND($E$49+($E$53-$E$49)/3*2,1)</f>
        <v>104.9</v>
      </c>
      <c r="H50" s="153">
        <f>(B50*(G50-G$26)/G$26)/30*J50</f>
        <v>0</v>
      </c>
      <c r="I50" s="163" t="b">
        <f t="shared" si="0"/>
        <v>0</v>
      </c>
      <c r="J50" s="56">
        <f t="shared" si="3"/>
        <v>30</v>
      </c>
      <c r="K50" s="56">
        <f t="shared" si="1"/>
        <v>0</v>
      </c>
      <c r="L50" s="56">
        <f t="shared" si="2"/>
        <v>0</v>
      </c>
      <c r="O50" s="62">
        <v>44423</v>
      </c>
      <c r="P50" s="72">
        <f t="shared" si="4"/>
        <v>1</v>
      </c>
      <c r="Q50" s="56">
        <f t="shared" si="5"/>
        <v>-100000</v>
      </c>
      <c r="R50" s="72">
        <f t="shared" si="6"/>
        <v>-55576</v>
      </c>
      <c r="S50" s="56">
        <f t="shared" si="7"/>
        <v>43969</v>
      </c>
      <c r="T50" s="56">
        <f t="shared" si="8"/>
        <v>2</v>
      </c>
      <c r="U50" s="62">
        <f t="shared" si="9"/>
        <v>0</v>
      </c>
    </row>
    <row r="51" spans="1:21" s="1" customFormat="1" ht="12.75" x14ac:dyDescent="0.2">
      <c r="A51" s="179"/>
      <c r="B51" s="158"/>
      <c r="C51" s="171">
        <v>43678</v>
      </c>
      <c r="D51" s="130" t="str">
        <f>IF(I51=TRUE,"Første a'conto efter fastprisperioden indtastes her"," ")</f>
        <v xml:space="preserve"> </v>
      </c>
      <c r="E51" s="131"/>
      <c r="F51" s="127">
        <v>43692</v>
      </c>
      <c r="G51" s="137">
        <f>ROUND($E$49+($E$53-$E$49)/3*3,1)</f>
        <v>104.8</v>
      </c>
      <c r="H51" s="153">
        <f>(B51*(G51-G$26)/G$26)/30*J51</f>
        <v>0</v>
      </c>
      <c r="I51" s="163" t="b">
        <f t="shared" si="0"/>
        <v>0</v>
      </c>
      <c r="J51" s="56">
        <f t="shared" si="3"/>
        <v>30</v>
      </c>
      <c r="K51" s="56">
        <f t="shared" si="1"/>
        <v>0</v>
      </c>
      <c r="L51" s="56">
        <f t="shared" si="2"/>
        <v>0</v>
      </c>
      <c r="O51" s="71">
        <v>44515</v>
      </c>
      <c r="P51" s="72">
        <f t="shared" si="4"/>
        <v>1</v>
      </c>
      <c r="Q51" s="56">
        <f t="shared" si="5"/>
        <v>-100000</v>
      </c>
      <c r="R51" s="72">
        <f t="shared" si="6"/>
        <v>-55484</v>
      </c>
      <c r="S51" s="56">
        <f t="shared" si="7"/>
        <v>43969</v>
      </c>
      <c r="T51" s="56">
        <f t="shared" si="8"/>
        <v>2</v>
      </c>
      <c r="U51" s="62">
        <f t="shared" si="9"/>
        <v>0</v>
      </c>
    </row>
    <row r="52" spans="1:21" s="1" customFormat="1" ht="12.75" x14ac:dyDescent="0.2">
      <c r="A52" s="179"/>
      <c r="B52" s="158"/>
      <c r="C52" s="171">
        <v>43709</v>
      </c>
      <c r="D52" s="130" t="str">
        <f>IF(I52=TRUE,"Første a'conto efter fastprisperioden indtastes her"," ")</f>
        <v xml:space="preserve"> </v>
      </c>
      <c r="E52" s="131"/>
      <c r="F52" s="127">
        <v>43723</v>
      </c>
      <c r="G52" s="137">
        <f>ROUND($E$53+($E$57-$E$53)/3,1)</f>
        <v>105</v>
      </c>
      <c r="H52" s="153">
        <f>(B52*(G52-G$26)/G$26)/30*J52</f>
        <v>0</v>
      </c>
      <c r="I52" s="163" t="b">
        <f t="shared" si="0"/>
        <v>0</v>
      </c>
      <c r="J52" s="56">
        <f t="shared" si="3"/>
        <v>30</v>
      </c>
      <c r="K52" s="56">
        <f t="shared" si="1"/>
        <v>0</v>
      </c>
      <c r="L52" s="56">
        <f t="shared" si="2"/>
        <v>0</v>
      </c>
      <c r="O52" s="71">
        <v>44607</v>
      </c>
      <c r="P52" s="72">
        <f t="shared" si="4"/>
        <v>1</v>
      </c>
      <c r="Q52" s="56">
        <f t="shared" si="5"/>
        <v>-100000</v>
      </c>
      <c r="R52" s="72">
        <f t="shared" si="6"/>
        <v>-55392</v>
      </c>
      <c r="S52" s="56">
        <f t="shared" si="7"/>
        <v>43969</v>
      </c>
      <c r="T52" s="56">
        <f t="shared" si="8"/>
        <v>2</v>
      </c>
      <c r="U52" s="62">
        <f t="shared" si="9"/>
        <v>0</v>
      </c>
    </row>
    <row r="53" spans="1:21" s="1" customFormat="1" ht="12.75" x14ac:dyDescent="0.2">
      <c r="A53" s="180"/>
      <c r="B53" s="159"/>
      <c r="C53" s="171"/>
      <c r="D53" s="133" t="s">
        <v>12</v>
      </c>
      <c r="E53" s="134">
        <v>104.8</v>
      </c>
      <c r="F53" s="129"/>
      <c r="G53" s="135"/>
      <c r="H53" s="153"/>
      <c r="I53" s="163" t="b">
        <f t="shared" si="0"/>
        <v>0</v>
      </c>
      <c r="J53" s="56">
        <f t="shared" si="3"/>
        <v>30</v>
      </c>
      <c r="K53" s="56">
        <f t="shared" si="1"/>
        <v>0</v>
      </c>
      <c r="L53" s="56">
        <f t="shared" si="2"/>
        <v>0</v>
      </c>
      <c r="O53" s="71">
        <v>44696</v>
      </c>
      <c r="P53" s="72">
        <f t="shared" si="4"/>
        <v>1</v>
      </c>
      <c r="Q53" s="56">
        <f t="shared" si="5"/>
        <v>-100000</v>
      </c>
      <c r="R53" s="72">
        <f t="shared" si="6"/>
        <v>-55303</v>
      </c>
      <c r="S53" s="56">
        <f t="shared" si="7"/>
        <v>43969</v>
      </c>
      <c r="T53" s="56">
        <f t="shared" si="8"/>
        <v>2</v>
      </c>
      <c r="U53" s="62">
        <f t="shared" si="9"/>
        <v>0</v>
      </c>
    </row>
    <row r="54" spans="1:21" s="1" customFormat="1" ht="12.75" x14ac:dyDescent="0.2">
      <c r="A54" s="181"/>
      <c r="B54" s="158"/>
      <c r="C54" s="171">
        <v>43739</v>
      </c>
      <c r="D54" s="130" t="str">
        <f>IF(I54=TRUE,"Første a'conto efter fastprisperioden indtastes her"," ")</f>
        <v xml:space="preserve"> </v>
      </c>
      <c r="E54" s="136"/>
      <c r="F54" s="127">
        <v>43753</v>
      </c>
      <c r="G54" s="137">
        <f>ROUND($E$53+($E$57-$E$53)/3*2,1)</f>
        <v>105.2</v>
      </c>
      <c r="H54" s="153">
        <f>(B54*(G54-G$26)/G$26)/30*J54</f>
        <v>0</v>
      </c>
      <c r="I54" s="163" t="b">
        <f t="shared" si="0"/>
        <v>0</v>
      </c>
      <c r="J54" s="56">
        <f t="shared" si="3"/>
        <v>30</v>
      </c>
      <c r="K54" s="56">
        <f t="shared" si="1"/>
        <v>0</v>
      </c>
      <c r="L54" s="56">
        <f t="shared" si="2"/>
        <v>0</v>
      </c>
      <c r="O54" s="62">
        <v>44788</v>
      </c>
      <c r="P54" s="72">
        <f t="shared" si="4"/>
        <v>1</v>
      </c>
      <c r="Q54" s="56">
        <f t="shared" si="5"/>
        <v>-100000</v>
      </c>
      <c r="R54" s="72">
        <f t="shared" si="6"/>
        <v>-55211</v>
      </c>
      <c r="S54" s="56">
        <f t="shared" si="7"/>
        <v>43969</v>
      </c>
      <c r="T54" s="56">
        <f t="shared" si="8"/>
        <v>2</v>
      </c>
      <c r="U54" s="62">
        <f t="shared" si="9"/>
        <v>0</v>
      </c>
    </row>
    <row r="55" spans="1:21" s="1" customFormat="1" ht="12.75" x14ac:dyDescent="0.2">
      <c r="A55" s="181"/>
      <c r="B55" s="158"/>
      <c r="C55" s="171">
        <v>43770</v>
      </c>
      <c r="D55" s="130" t="str">
        <f>IF(I55=TRUE,"Første a'conto efter fastprisperioden indtastes her"," ")</f>
        <v xml:space="preserve"> </v>
      </c>
      <c r="E55" s="136"/>
      <c r="F55" s="127">
        <v>43784</v>
      </c>
      <c r="G55" s="137">
        <f>ROUND($E$53+($E$57-$E$53)/3*3,1)</f>
        <v>105.4</v>
      </c>
      <c r="H55" s="153">
        <f>(B55*(G55-G$26)/G$26)/30*J55</f>
        <v>0</v>
      </c>
      <c r="I55" s="163" t="b">
        <f t="shared" si="0"/>
        <v>0</v>
      </c>
      <c r="J55" s="56">
        <f t="shared" si="3"/>
        <v>30</v>
      </c>
      <c r="K55" s="56">
        <f t="shared" si="1"/>
        <v>0</v>
      </c>
      <c r="L55" s="56">
        <f t="shared" si="2"/>
        <v>0</v>
      </c>
      <c r="O55" s="71">
        <v>44880</v>
      </c>
      <c r="P55" s="72">
        <f t="shared" si="4"/>
        <v>1</v>
      </c>
      <c r="Q55" s="56">
        <f t="shared" si="5"/>
        <v>-100000</v>
      </c>
      <c r="R55" s="72">
        <f t="shared" si="6"/>
        <v>-55119</v>
      </c>
      <c r="S55" s="56">
        <f t="shared" si="7"/>
        <v>43969</v>
      </c>
      <c r="T55" s="56">
        <f t="shared" si="8"/>
        <v>2</v>
      </c>
      <c r="U55" s="62">
        <f t="shared" si="9"/>
        <v>0</v>
      </c>
    </row>
    <row r="56" spans="1:21" s="1" customFormat="1" ht="12.75" x14ac:dyDescent="0.2">
      <c r="A56" s="181"/>
      <c r="B56" s="158"/>
      <c r="C56" s="171">
        <v>43800</v>
      </c>
      <c r="D56" s="130" t="str">
        <f>IF(I56=TRUE,"Første a'conto efter fastprisperioden indtastes her"," ")</f>
        <v xml:space="preserve"> </v>
      </c>
      <c r="E56" s="136"/>
      <c r="F56" s="127">
        <v>43814</v>
      </c>
      <c r="G56" s="137">
        <f>ROUND($E$57+($E$61-$E$57)/3,1)</f>
        <v>105.5</v>
      </c>
      <c r="H56" s="153">
        <f>(B56*(G56-G$26)/G$26)/30*J56</f>
        <v>0</v>
      </c>
      <c r="I56" s="163" t="b">
        <f t="shared" si="0"/>
        <v>0</v>
      </c>
      <c r="J56" s="56">
        <f t="shared" si="3"/>
        <v>30</v>
      </c>
      <c r="K56" s="56">
        <f t="shared" si="1"/>
        <v>0</v>
      </c>
      <c r="L56" s="56">
        <f t="shared" si="2"/>
        <v>0</v>
      </c>
      <c r="O56" s="71">
        <v>44972</v>
      </c>
      <c r="P56" s="72">
        <f t="shared" si="4"/>
        <v>1</v>
      </c>
      <c r="Q56" s="56">
        <f t="shared" si="5"/>
        <v>-100000</v>
      </c>
      <c r="R56" s="72">
        <f t="shared" si="6"/>
        <v>-55027</v>
      </c>
      <c r="S56" s="56">
        <f t="shared" si="7"/>
        <v>43969</v>
      </c>
      <c r="T56" s="56">
        <f t="shared" si="8"/>
        <v>2</v>
      </c>
      <c r="U56" s="62">
        <f t="shared" si="9"/>
        <v>0</v>
      </c>
    </row>
    <row r="57" spans="1:21" s="1" customFormat="1" ht="12.75" x14ac:dyDescent="0.2">
      <c r="A57" s="180"/>
      <c r="B57" s="159"/>
      <c r="C57" s="171"/>
      <c r="D57" s="133" t="s">
        <v>13</v>
      </c>
      <c r="E57" s="134">
        <v>105.4</v>
      </c>
      <c r="F57" s="127"/>
      <c r="G57" s="137"/>
      <c r="H57" s="153"/>
      <c r="I57" s="163" t="b">
        <f t="shared" si="0"/>
        <v>0</v>
      </c>
      <c r="J57" s="56">
        <f t="shared" si="3"/>
        <v>30</v>
      </c>
      <c r="K57" s="56">
        <f t="shared" si="1"/>
        <v>0</v>
      </c>
      <c r="L57" s="56">
        <f t="shared" si="2"/>
        <v>0</v>
      </c>
      <c r="O57" s="71">
        <v>45061</v>
      </c>
      <c r="P57" s="72">
        <f t="shared" si="4"/>
        <v>1</v>
      </c>
      <c r="Q57" s="56">
        <f t="shared" si="5"/>
        <v>-100000</v>
      </c>
      <c r="R57" s="72">
        <f t="shared" si="6"/>
        <v>-54938</v>
      </c>
      <c r="S57" s="56">
        <f t="shared" si="7"/>
        <v>43969</v>
      </c>
      <c r="T57" s="56">
        <f t="shared" si="8"/>
        <v>2</v>
      </c>
      <c r="U57" s="62">
        <f t="shared" si="9"/>
        <v>0</v>
      </c>
    </row>
    <row r="58" spans="1:21" s="1" customFormat="1" ht="12.75" x14ac:dyDescent="0.2">
      <c r="A58" s="181"/>
      <c r="B58" s="158"/>
      <c r="C58" s="171">
        <v>43831</v>
      </c>
      <c r="D58" s="130" t="str">
        <f>IF(I58=TRUE,"Første a'conto efter fastprisperioden indtastes her"," ")</f>
        <v xml:space="preserve"> </v>
      </c>
      <c r="E58" s="136"/>
      <c r="F58" s="127">
        <v>43845</v>
      </c>
      <c r="G58" s="137">
        <f>ROUND($E$57+($E$61-$E$57)/3*2,1)</f>
        <v>105.5</v>
      </c>
      <c r="H58" s="153">
        <f>(B58*(G58-G$26)/G$26)/30*J58</f>
        <v>0</v>
      </c>
      <c r="I58" s="163" t="b">
        <f t="shared" si="0"/>
        <v>0</v>
      </c>
      <c r="J58" s="56">
        <f t="shared" si="3"/>
        <v>30</v>
      </c>
      <c r="K58" s="56">
        <f t="shared" si="1"/>
        <v>0</v>
      </c>
      <c r="L58" s="56">
        <f t="shared" si="2"/>
        <v>0</v>
      </c>
      <c r="O58" s="62">
        <v>45153</v>
      </c>
      <c r="P58" s="72">
        <f t="shared" si="4"/>
        <v>1</v>
      </c>
      <c r="Q58" s="56">
        <f t="shared" si="5"/>
        <v>-100000</v>
      </c>
      <c r="R58" s="72">
        <f t="shared" si="6"/>
        <v>-54846</v>
      </c>
      <c r="S58" s="56">
        <f t="shared" si="7"/>
        <v>43969</v>
      </c>
      <c r="T58" s="56">
        <f t="shared" si="8"/>
        <v>2</v>
      </c>
      <c r="U58" s="62">
        <f t="shared" si="9"/>
        <v>0</v>
      </c>
    </row>
    <row r="59" spans="1:21" s="1" customFormat="1" ht="12.75" x14ac:dyDescent="0.2">
      <c r="A59" s="181"/>
      <c r="B59" s="158"/>
      <c r="C59" s="171">
        <v>43862</v>
      </c>
      <c r="D59" s="130" t="str">
        <f>IF(I59=TRUE,"Første a'conto efter fastprisperioden indtastes her"," ")</f>
        <v xml:space="preserve"> </v>
      </c>
      <c r="E59" s="136"/>
      <c r="F59" s="127">
        <v>43876</v>
      </c>
      <c r="G59" s="137">
        <f>ROUND($E$57+($E$61-$E$57)/3*3,1)</f>
        <v>105.6</v>
      </c>
      <c r="H59" s="153">
        <f>(B59*(G59-G$26)/G$26)/30*J59</f>
        <v>0</v>
      </c>
      <c r="I59" s="163" t="b">
        <f t="shared" si="0"/>
        <v>0</v>
      </c>
      <c r="J59" s="56">
        <f t="shared" si="3"/>
        <v>30</v>
      </c>
      <c r="K59" s="56">
        <f t="shared" si="1"/>
        <v>0</v>
      </c>
      <c r="L59" s="56">
        <f t="shared" si="2"/>
        <v>0</v>
      </c>
      <c r="O59" s="71">
        <v>45245</v>
      </c>
      <c r="P59" s="72">
        <f t="shared" si="4"/>
        <v>1</v>
      </c>
      <c r="Q59" s="56">
        <f t="shared" si="5"/>
        <v>-100000</v>
      </c>
      <c r="R59" s="72">
        <f t="shared" si="6"/>
        <v>-54754</v>
      </c>
      <c r="S59" s="56">
        <f t="shared" si="7"/>
        <v>43969</v>
      </c>
      <c r="T59" s="56">
        <f t="shared" si="8"/>
        <v>2</v>
      </c>
      <c r="U59" s="62">
        <f t="shared" si="9"/>
        <v>0</v>
      </c>
    </row>
    <row r="60" spans="1:21" s="1" customFormat="1" ht="12.75" x14ac:dyDescent="0.2">
      <c r="A60" s="179"/>
      <c r="B60" s="158"/>
      <c r="C60" s="171">
        <v>43891</v>
      </c>
      <c r="D60" s="130" t="str">
        <f>IF(I60=TRUE,"Første a'conto efter fastprisperioden indtastes her"," ")</f>
        <v xml:space="preserve"> </v>
      </c>
      <c r="E60" s="136"/>
      <c r="F60" s="127">
        <v>43905</v>
      </c>
      <c r="G60" s="137">
        <f>ROUND($E$61+($E$65-$E$61)/3,1)</f>
        <v>105.8</v>
      </c>
      <c r="H60" s="153">
        <f>(B60*(G60-G$26)/G$26)/30*J60</f>
        <v>0</v>
      </c>
      <c r="I60" s="163" t="b">
        <f t="shared" si="0"/>
        <v>0</v>
      </c>
      <c r="J60" s="56">
        <f t="shared" si="3"/>
        <v>30</v>
      </c>
      <c r="K60" s="56">
        <f t="shared" si="1"/>
        <v>0</v>
      </c>
      <c r="L60" s="56">
        <f t="shared" si="2"/>
        <v>0</v>
      </c>
      <c r="O60" s="71">
        <v>45337</v>
      </c>
      <c r="P60" s="72">
        <f t="shared" si="4"/>
        <v>1</v>
      </c>
      <c r="Q60" s="56">
        <f t="shared" si="5"/>
        <v>-100000</v>
      </c>
      <c r="R60" s="72">
        <f t="shared" si="6"/>
        <v>-54662</v>
      </c>
      <c r="S60" s="56">
        <f t="shared" si="7"/>
        <v>43969</v>
      </c>
      <c r="T60" s="56">
        <f t="shared" si="8"/>
        <v>2</v>
      </c>
      <c r="U60" s="62">
        <f t="shared" si="9"/>
        <v>0</v>
      </c>
    </row>
    <row r="61" spans="1:21" s="1" customFormat="1" ht="12.75" x14ac:dyDescent="0.2">
      <c r="A61" s="180"/>
      <c r="B61" s="159"/>
      <c r="C61" s="171"/>
      <c r="D61" s="133" t="s">
        <v>14</v>
      </c>
      <c r="E61" s="134">
        <v>105.6</v>
      </c>
      <c r="F61" s="127"/>
      <c r="G61" s="137"/>
      <c r="H61" s="153"/>
      <c r="I61" s="163" t="b">
        <f t="shared" si="0"/>
        <v>0</v>
      </c>
      <c r="J61" s="56">
        <f t="shared" si="3"/>
        <v>30</v>
      </c>
      <c r="K61" s="56">
        <f t="shared" si="1"/>
        <v>0</v>
      </c>
      <c r="L61" s="56">
        <f t="shared" si="2"/>
        <v>0</v>
      </c>
      <c r="O61" s="71">
        <v>45427</v>
      </c>
      <c r="P61" s="72">
        <f t="shared" si="4"/>
        <v>1</v>
      </c>
      <c r="Q61" s="56">
        <f t="shared" si="5"/>
        <v>-100000</v>
      </c>
      <c r="R61" s="72">
        <f t="shared" si="6"/>
        <v>-54572</v>
      </c>
      <c r="S61" s="56">
        <f t="shared" si="7"/>
        <v>43969</v>
      </c>
      <c r="T61" s="56">
        <f t="shared" si="8"/>
        <v>2</v>
      </c>
      <c r="U61" s="62">
        <f t="shared" si="9"/>
        <v>0</v>
      </c>
    </row>
    <row r="62" spans="1:21" s="1" customFormat="1" ht="12.75" x14ac:dyDescent="0.2">
      <c r="A62" s="179"/>
      <c r="B62" s="158"/>
      <c r="C62" s="171">
        <v>43922</v>
      </c>
      <c r="D62" s="130" t="str">
        <f>IF(I62=TRUE,"Første a'conto efter fastprisperioden indtastes her"," ")</f>
        <v xml:space="preserve"> </v>
      </c>
      <c r="E62" s="136"/>
      <c r="F62" s="127">
        <v>43936</v>
      </c>
      <c r="G62" s="137">
        <f>ROUND($E$61+($E$65-$E$61)/3*2,1)</f>
        <v>105.9</v>
      </c>
      <c r="H62" s="153">
        <f>(B62*(G62-G$26)/G$26)/30*J62</f>
        <v>0</v>
      </c>
      <c r="I62" s="163" t="b">
        <f t="shared" si="0"/>
        <v>0</v>
      </c>
      <c r="J62" s="56">
        <f t="shared" si="3"/>
        <v>30</v>
      </c>
      <c r="K62" s="56">
        <f t="shared" si="1"/>
        <v>0</v>
      </c>
      <c r="L62" s="56">
        <f t="shared" si="2"/>
        <v>0</v>
      </c>
      <c r="O62" s="62">
        <v>45519</v>
      </c>
      <c r="P62" s="72">
        <f t="shared" si="4"/>
        <v>1</v>
      </c>
      <c r="Q62" s="56">
        <f t="shared" si="5"/>
        <v>-100000</v>
      </c>
      <c r="R62" s="72">
        <f t="shared" si="6"/>
        <v>-54480</v>
      </c>
      <c r="S62" s="56">
        <f t="shared" si="7"/>
        <v>43969</v>
      </c>
      <c r="T62" s="56">
        <f t="shared" si="8"/>
        <v>2</v>
      </c>
      <c r="U62" s="62">
        <f t="shared" si="9"/>
        <v>0</v>
      </c>
    </row>
    <row r="63" spans="1:21" s="1" customFormat="1" ht="12.75" x14ac:dyDescent="0.2">
      <c r="A63" s="179"/>
      <c r="B63" s="158"/>
      <c r="C63" s="171">
        <v>43952</v>
      </c>
      <c r="D63" s="130" t="str">
        <f>IF(I63=TRUE,"Første a'conto efter fastprisperioden indtastes her"," ")</f>
        <v xml:space="preserve"> </v>
      </c>
      <c r="E63" s="136"/>
      <c r="F63" s="127">
        <v>43966</v>
      </c>
      <c r="G63" s="137">
        <f>ROUND($E$61+($E$65-$E$61)/3*3,1)</f>
        <v>106.1</v>
      </c>
      <c r="H63" s="153">
        <f>(B63*(G63-G$26)/G$26)/30*J63</f>
        <v>0</v>
      </c>
      <c r="I63" s="163" t="b">
        <f t="shared" si="0"/>
        <v>0</v>
      </c>
      <c r="J63" s="56">
        <f t="shared" si="3"/>
        <v>30</v>
      </c>
      <c r="K63" s="56">
        <f t="shared" si="1"/>
        <v>0</v>
      </c>
      <c r="L63" s="56">
        <f t="shared" si="2"/>
        <v>0</v>
      </c>
      <c r="O63" s="71">
        <v>45611</v>
      </c>
      <c r="P63" s="72">
        <f t="shared" si="4"/>
        <v>1</v>
      </c>
      <c r="Q63" s="56">
        <f t="shared" si="5"/>
        <v>-100000</v>
      </c>
      <c r="R63" s="72">
        <f t="shared" si="6"/>
        <v>-54388</v>
      </c>
      <c r="S63" s="56">
        <f t="shared" si="7"/>
        <v>43969</v>
      </c>
      <c r="T63" s="56">
        <f t="shared" si="8"/>
        <v>2</v>
      </c>
      <c r="U63" s="62">
        <f t="shared" si="9"/>
        <v>0</v>
      </c>
    </row>
    <row r="64" spans="1:21" s="1" customFormat="1" ht="12.75" x14ac:dyDescent="0.2">
      <c r="A64" s="179"/>
      <c r="B64" s="158"/>
      <c r="C64" s="171">
        <v>43983</v>
      </c>
      <c r="D64" s="130" t="str">
        <f>IF(I64=TRUE,"Første a'conto efter fastprisperioden indtastes her"," ")</f>
        <v xml:space="preserve"> </v>
      </c>
      <c r="E64" s="136"/>
      <c r="F64" s="127">
        <v>43997</v>
      </c>
      <c r="G64" s="137">
        <f>ROUND($E$65+($E$69-$E$65)/3,1)</f>
        <v>105.9</v>
      </c>
      <c r="H64" s="153">
        <f>(B64*(G64-G$26)/G$26)/30*J64</f>
        <v>0</v>
      </c>
      <c r="I64" s="163" t="b">
        <f t="shared" si="0"/>
        <v>0</v>
      </c>
      <c r="J64" s="56">
        <f t="shared" si="3"/>
        <v>30</v>
      </c>
      <c r="K64" s="56">
        <f t="shared" si="1"/>
        <v>0</v>
      </c>
      <c r="L64" s="56">
        <f t="shared" si="2"/>
        <v>0</v>
      </c>
      <c r="O64" s="71">
        <v>45703</v>
      </c>
      <c r="P64" s="72">
        <f t="shared" si="4"/>
        <v>1</v>
      </c>
      <c r="Q64" s="56">
        <f t="shared" si="5"/>
        <v>-100000</v>
      </c>
      <c r="R64" s="72">
        <f t="shared" si="6"/>
        <v>-54296</v>
      </c>
      <c r="S64" s="56">
        <f t="shared" si="7"/>
        <v>43969</v>
      </c>
      <c r="T64" s="56">
        <f t="shared" si="8"/>
        <v>2</v>
      </c>
      <c r="U64" s="62">
        <f t="shared" si="9"/>
        <v>0</v>
      </c>
    </row>
    <row r="65" spans="1:21" s="1" customFormat="1" ht="12.75" x14ac:dyDescent="0.2">
      <c r="A65" s="180"/>
      <c r="B65" s="159"/>
      <c r="C65" s="171"/>
      <c r="D65" s="133" t="s">
        <v>16</v>
      </c>
      <c r="E65" s="134">
        <v>106.1</v>
      </c>
      <c r="F65" s="127"/>
      <c r="G65" s="137"/>
      <c r="H65" s="153"/>
      <c r="I65" s="163" t="b">
        <f t="shared" si="0"/>
        <v>0</v>
      </c>
      <c r="J65" s="56">
        <f t="shared" si="3"/>
        <v>30</v>
      </c>
      <c r="K65" s="56">
        <f t="shared" si="1"/>
        <v>106.1</v>
      </c>
      <c r="L65" s="56">
        <f t="shared" si="2"/>
        <v>0</v>
      </c>
      <c r="O65" s="71">
        <v>45792</v>
      </c>
      <c r="P65" s="72">
        <f t="shared" si="4"/>
        <v>1</v>
      </c>
      <c r="Q65" s="56">
        <f t="shared" si="5"/>
        <v>-100000</v>
      </c>
      <c r="R65" s="72">
        <f t="shared" si="6"/>
        <v>-54207</v>
      </c>
      <c r="S65" s="56">
        <f t="shared" si="7"/>
        <v>43969</v>
      </c>
      <c r="T65" s="56">
        <f t="shared" si="8"/>
        <v>2</v>
      </c>
      <c r="U65" s="62">
        <f t="shared" si="9"/>
        <v>0</v>
      </c>
    </row>
    <row r="66" spans="1:21" s="1" customFormat="1" ht="12.75" x14ac:dyDescent="0.2">
      <c r="A66" s="179"/>
      <c r="B66" s="158"/>
      <c r="C66" s="171">
        <v>44013</v>
      </c>
      <c r="D66" s="130" t="str">
        <f>IF(I66=TRUE,"Første a'conto efter fastprisperioden indtastes her"," ")</f>
        <v xml:space="preserve"> </v>
      </c>
      <c r="E66" s="136"/>
      <c r="F66" s="127">
        <v>44027</v>
      </c>
      <c r="G66" s="137">
        <f>ROUND($E$65+($E$69-$E$65)/3*2,1)</f>
        <v>105.8</v>
      </c>
      <c r="H66" s="153">
        <f>(B66*(G66-G$26)/G$26)/30*J66</f>
        <v>0</v>
      </c>
      <c r="I66" s="163" t="b">
        <f t="shared" si="0"/>
        <v>0</v>
      </c>
      <c r="J66" s="56">
        <f t="shared" si="3"/>
        <v>30</v>
      </c>
      <c r="K66" s="56">
        <f t="shared" si="1"/>
        <v>0</v>
      </c>
      <c r="L66" s="56">
        <f t="shared" si="2"/>
        <v>0</v>
      </c>
      <c r="O66" s="62">
        <v>45884</v>
      </c>
      <c r="P66" s="72">
        <f t="shared" si="4"/>
        <v>1</v>
      </c>
      <c r="Q66" s="56">
        <f t="shared" si="5"/>
        <v>-100000</v>
      </c>
      <c r="R66" s="72">
        <f t="shared" si="6"/>
        <v>-54115</v>
      </c>
      <c r="S66" s="56">
        <f t="shared" si="7"/>
        <v>43969</v>
      </c>
      <c r="T66" s="56">
        <f t="shared" si="8"/>
        <v>2</v>
      </c>
      <c r="U66" s="62">
        <f t="shared" si="9"/>
        <v>0</v>
      </c>
    </row>
    <row r="67" spans="1:21" s="1" customFormat="1" ht="12.75" x14ac:dyDescent="0.2">
      <c r="A67" s="179"/>
      <c r="B67" s="158"/>
      <c r="C67" s="171">
        <v>44044</v>
      </c>
      <c r="D67" s="130" t="str">
        <f>IF(I67=TRUE,"Første a'conto efter fastprisperioden indtastes her"," ")</f>
        <v xml:space="preserve"> </v>
      </c>
      <c r="E67" s="136"/>
      <c r="F67" s="127">
        <v>44058</v>
      </c>
      <c r="G67" s="137">
        <f>ROUND($E$65+($E$69-$E$65)/3*3,1)</f>
        <v>105.6</v>
      </c>
      <c r="H67" s="153">
        <f>(B67*(G67-G$26)/G$26)/30*J67</f>
        <v>0</v>
      </c>
      <c r="I67" s="163" t="b">
        <f t="shared" si="0"/>
        <v>0</v>
      </c>
      <c r="J67" s="56">
        <f t="shared" si="3"/>
        <v>30</v>
      </c>
      <c r="K67" s="56">
        <f t="shared" si="1"/>
        <v>0</v>
      </c>
      <c r="L67" s="56">
        <f t="shared" si="2"/>
        <v>0</v>
      </c>
      <c r="O67" s="71">
        <v>45976</v>
      </c>
      <c r="P67" s="72">
        <f t="shared" si="4"/>
        <v>1</v>
      </c>
      <c r="Q67" s="56">
        <f t="shared" si="5"/>
        <v>-100000</v>
      </c>
      <c r="R67" s="72">
        <f t="shared" si="6"/>
        <v>-54023</v>
      </c>
      <c r="S67" s="56">
        <f t="shared" si="7"/>
        <v>43969</v>
      </c>
      <c r="T67" s="56">
        <f t="shared" si="8"/>
        <v>2</v>
      </c>
      <c r="U67" s="62">
        <f t="shared" si="9"/>
        <v>0</v>
      </c>
    </row>
    <row r="68" spans="1:21" s="1" customFormat="1" ht="12.75" x14ac:dyDescent="0.2">
      <c r="A68" s="179"/>
      <c r="B68" s="158"/>
      <c r="C68" s="171">
        <v>44075</v>
      </c>
      <c r="D68" s="130" t="str">
        <f>IF(I68=TRUE,"Første a'conto efter fastprisperioden indtastes her"," ")</f>
        <v xml:space="preserve"> </v>
      </c>
      <c r="E68" s="136"/>
      <c r="F68" s="127">
        <v>44089</v>
      </c>
      <c r="G68" s="137">
        <f>ROUND($E$69+($E$73-$E$69)/3,1)</f>
        <v>105.6</v>
      </c>
      <c r="H68" s="153">
        <f>(B68*(G68-G$26)/G$26)/30*J68</f>
        <v>0</v>
      </c>
      <c r="I68" s="163" t="b">
        <f t="shared" si="0"/>
        <v>0</v>
      </c>
      <c r="J68" s="56">
        <f t="shared" si="3"/>
        <v>30</v>
      </c>
      <c r="K68" s="56">
        <f t="shared" si="1"/>
        <v>0</v>
      </c>
      <c r="L68" s="56">
        <f t="shared" si="2"/>
        <v>0</v>
      </c>
      <c r="O68" s="71">
        <v>46068</v>
      </c>
      <c r="P68" s="72">
        <f t="shared" si="4"/>
        <v>1</v>
      </c>
      <c r="Q68" s="56">
        <f t="shared" si="5"/>
        <v>-100000</v>
      </c>
      <c r="R68" s="72">
        <f t="shared" si="6"/>
        <v>-53931</v>
      </c>
      <c r="S68" s="56">
        <f t="shared" si="7"/>
        <v>43969</v>
      </c>
      <c r="T68" s="56">
        <f t="shared" si="8"/>
        <v>2</v>
      </c>
      <c r="U68" s="62">
        <f t="shared" si="9"/>
        <v>0</v>
      </c>
    </row>
    <row r="69" spans="1:21" s="1" customFormat="1" ht="12.75" x14ac:dyDescent="0.2">
      <c r="A69" s="180"/>
      <c r="B69" s="159"/>
      <c r="C69" s="171"/>
      <c r="D69" s="133" t="s">
        <v>17</v>
      </c>
      <c r="E69" s="134">
        <v>105.6</v>
      </c>
      <c r="F69" s="129"/>
      <c r="G69" s="135"/>
      <c r="H69" s="153"/>
      <c r="I69" s="163" t="b">
        <f t="shared" si="0"/>
        <v>0</v>
      </c>
      <c r="J69" s="56">
        <f t="shared" si="3"/>
        <v>30</v>
      </c>
      <c r="K69" s="56">
        <f t="shared" si="1"/>
        <v>0</v>
      </c>
      <c r="L69" s="56">
        <f t="shared" si="2"/>
        <v>105.6</v>
      </c>
      <c r="O69" s="71">
        <v>46157</v>
      </c>
      <c r="P69" s="72">
        <f t="shared" si="4"/>
        <v>1</v>
      </c>
      <c r="Q69" s="56">
        <f t="shared" si="5"/>
        <v>-100000</v>
      </c>
      <c r="R69" s="72">
        <f t="shared" si="6"/>
        <v>-53842</v>
      </c>
      <c r="S69" s="56">
        <f t="shared" si="7"/>
        <v>43969</v>
      </c>
      <c r="T69" s="56">
        <f t="shared" si="8"/>
        <v>2</v>
      </c>
      <c r="U69" s="62">
        <f t="shared" si="9"/>
        <v>0</v>
      </c>
    </row>
    <row r="70" spans="1:21" s="1" customFormat="1" ht="12.75" x14ac:dyDescent="0.2">
      <c r="A70" s="179"/>
      <c r="B70" s="158"/>
      <c r="C70" s="171">
        <v>44105</v>
      </c>
      <c r="D70" s="130" t="str">
        <f>IF(I70=TRUE,"Første a'conto efter fastprisperioden indtastes her"," ")</f>
        <v xml:space="preserve"> </v>
      </c>
      <c r="E70" s="136"/>
      <c r="F70" s="127">
        <v>44119</v>
      </c>
      <c r="G70" s="137">
        <f>ROUND($E$69+($E$73-$E$69)/3*2,1)</f>
        <v>105.7</v>
      </c>
      <c r="H70" s="153">
        <f>(B70*(G70-G$26)/G$26)/30*J70</f>
        <v>0</v>
      </c>
      <c r="I70" s="163" t="b">
        <f t="shared" ref="I70:I101" si="10">IF(C70=$M$1,TRUE,FALSE)</f>
        <v>0</v>
      </c>
      <c r="J70" s="56">
        <f t="shared" si="3"/>
        <v>30</v>
      </c>
      <c r="K70" s="56">
        <f t="shared" ref="K70:K101" si="11">IF(D70=$D$18,E70,0)</f>
        <v>0</v>
      </c>
      <c r="L70" s="56">
        <f t="shared" ref="L70:L101" si="12">IF(D70=$D$19,E70,0)</f>
        <v>0</v>
      </c>
      <c r="O70" s="62">
        <v>46249</v>
      </c>
      <c r="P70" s="72">
        <f t="shared" si="4"/>
        <v>1</v>
      </c>
      <c r="Q70" s="56">
        <f t="shared" si="5"/>
        <v>-100000</v>
      </c>
      <c r="R70" s="72">
        <f t="shared" si="6"/>
        <v>-53750</v>
      </c>
      <c r="S70" s="56">
        <f t="shared" si="7"/>
        <v>43969</v>
      </c>
      <c r="T70" s="56">
        <f t="shared" si="8"/>
        <v>2</v>
      </c>
      <c r="U70" s="62">
        <f t="shared" si="9"/>
        <v>0</v>
      </c>
    </row>
    <row r="71" spans="1:21" s="1" customFormat="1" ht="12.75" x14ac:dyDescent="0.2">
      <c r="A71" s="179"/>
      <c r="B71" s="158"/>
      <c r="C71" s="171">
        <v>44136</v>
      </c>
      <c r="D71" s="130" t="str">
        <f>IF(I71=TRUE,"Første a'conto efter fastprisperioden indtastes her"," ")</f>
        <v xml:space="preserve"> </v>
      </c>
      <c r="E71" s="136"/>
      <c r="F71" s="127">
        <v>44150</v>
      </c>
      <c r="G71" s="137">
        <f>ROUND($E$69+($E$73-$E$69)/3*3,1)</f>
        <v>105.7</v>
      </c>
      <c r="H71" s="153">
        <f>(B71*(G71-G$26)/G$26)/30*J71</f>
        <v>0</v>
      </c>
      <c r="I71" s="163" t="b">
        <f t="shared" si="10"/>
        <v>0</v>
      </c>
      <c r="J71" s="56">
        <f t="shared" si="3"/>
        <v>30</v>
      </c>
      <c r="K71" s="56">
        <f t="shared" si="11"/>
        <v>0</v>
      </c>
      <c r="L71" s="56">
        <f t="shared" si="12"/>
        <v>0</v>
      </c>
      <c r="O71" s="71">
        <v>46341</v>
      </c>
      <c r="P71" s="72">
        <f t="shared" si="4"/>
        <v>1</v>
      </c>
      <c r="Q71" s="56">
        <f t="shared" si="5"/>
        <v>-100000</v>
      </c>
      <c r="R71" s="72">
        <f t="shared" si="6"/>
        <v>-53658</v>
      </c>
      <c r="S71" s="56">
        <f t="shared" si="7"/>
        <v>43969</v>
      </c>
      <c r="T71" s="56">
        <f t="shared" si="8"/>
        <v>2</v>
      </c>
      <c r="U71" s="62">
        <f t="shared" si="9"/>
        <v>0</v>
      </c>
    </row>
    <row r="72" spans="1:21" s="1" customFormat="1" ht="12.75" x14ac:dyDescent="0.2">
      <c r="A72" s="179"/>
      <c r="B72" s="160"/>
      <c r="C72" s="171">
        <v>44166</v>
      </c>
      <c r="D72" s="130" t="str">
        <f>IF(I72=TRUE,"Første a'conto efter fastprisperioden indtastes her"," ")</f>
        <v xml:space="preserve"> </v>
      </c>
      <c r="E72" s="136"/>
      <c r="F72" s="127">
        <v>44180</v>
      </c>
      <c r="G72" s="137">
        <f>ROUND($E$73+($E$77-$E$73)/3,1)</f>
        <v>106.1</v>
      </c>
      <c r="H72" s="153">
        <f>(B72*(G72-G$26)/G$26)/30*J72</f>
        <v>0</v>
      </c>
      <c r="I72" s="163" t="b">
        <f t="shared" si="10"/>
        <v>0</v>
      </c>
      <c r="J72" s="56">
        <f t="shared" si="3"/>
        <v>30</v>
      </c>
      <c r="K72" s="56">
        <f t="shared" si="11"/>
        <v>0</v>
      </c>
      <c r="L72" s="56">
        <f t="shared" si="12"/>
        <v>0</v>
      </c>
      <c r="O72" s="71">
        <v>46433</v>
      </c>
      <c r="P72" s="72">
        <f t="shared" si="4"/>
        <v>1</v>
      </c>
      <c r="Q72" s="56">
        <f t="shared" si="5"/>
        <v>-100000</v>
      </c>
      <c r="R72" s="72">
        <f t="shared" si="6"/>
        <v>-53566</v>
      </c>
      <c r="S72" s="56">
        <f t="shared" si="7"/>
        <v>43969</v>
      </c>
      <c r="T72" s="56">
        <f t="shared" si="8"/>
        <v>2</v>
      </c>
      <c r="U72" s="62">
        <f t="shared" si="9"/>
        <v>0</v>
      </c>
    </row>
    <row r="73" spans="1:21" s="1" customFormat="1" ht="12.75" x14ac:dyDescent="0.2">
      <c r="A73" s="180"/>
      <c r="B73" s="159"/>
      <c r="C73" s="171"/>
      <c r="D73" s="133" t="s">
        <v>15</v>
      </c>
      <c r="E73" s="134">
        <v>105.7</v>
      </c>
      <c r="F73" s="127"/>
      <c r="G73" s="137"/>
      <c r="H73" s="153"/>
      <c r="I73" s="163" t="b">
        <f t="shared" si="10"/>
        <v>0</v>
      </c>
      <c r="J73" s="56">
        <f t="shared" si="3"/>
        <v>30</v>
      </c>
      <c r="K73" s="56">
        <f t="shared" si="11"/>
        <v>0</v>
      </c>
      <c r="L73" s="56">
        <f t="shared" si="12"/>
        <v>0</v>
      </c>
      <c r="U73" s="71">
        <f>SUM(U38:U72)</f>
        <v>43966</v>
      </c>
    </row>
    <row r="74" spans="1:21" s="1" customFormat="1" ht="12.75" x14ac:dyDescent="0.2">
      <c r="A74" s="179"/>
      <c r="B74" s="160"/>
      <c r="C74" s="171">
        <v>44197</v>
      </c>
      <c r="D74" s="130" t="str">
        <f>IF(I74=TRUE,"Første a'conto efter fastprisperioden indtastes her"," ")</f>
        <v>Første a'conto efter fastprisperioden indtastes her</v>
      </c>
      <c r="E74" s="136"/>
      <c r="F74" s="127">
        <v>44211</v>
      </c>
      <c r="G74" s="137">
        <f>ROUND($E$73+($E$77-$E$73)/3*2,1)</f>
        <v>106.6</v>
      </c>
      <c r="H74" s="153">
        <f>(B74*(G74-G$26)/G$26)/30*J74</f>
        <v>0</v>
      </c>
      <c r="I74" s="163" t="b">
        <f t="shared" si="10"/>
        <v>1</v>
      </c>
      <c r="J74" s="56">
        <f t="shared" si="3"/>
        <v>29</v>
      </c>
      <c r="K74" s="56">
        <f t="shared" si="11"/>
        <v>0</v>
      </c>
      <c r="L74" s="56">
        <f t="shared" si="12"/>
        <v>0</v>
      </c>
    </row>
    <row r="75" spans="1:21" s="6" customFormat="1" ht="12.75" x14ac:dyDescent="0.2">
      <c r="A75" s="179"/>
      <c r="B75" s="160"/>
      <c r="C75" s="171">
        <v>44228</v>
      </c>
      <c r="D75" s="130" t="str">
        <f>IF(I75=TRUE,"Første a'conto efter fastprisperioden indtastes her"," ")</f>
        <v xml:space="preserve"> </v>
      </c>
      <c r="E75" s="136"/>
      <c r="F75" s="127">
        <v>44242</v>
      </c>
      <c r="G75" s="137">
        <f>ROUND($E$73+($E$77-$E$73)/3*3,1)</f>
        <v>107</v>
      </c>
      <c r="H75" s="153">
        <f>(B75*(G75-G$26)/G$26)/30*J75</f>
        <v>0</v>
      </c>
      <c r="I75" s="163" t="b">
        <f t="shared" si="10"/>
        <v>0</v>
      </c>
      <c r="J75" s="56">
        <f t="shared" si="3"/>
        <v>30</v>
      </c>
      <c r="K75" s="56">
        <f t="shared" si="11"/>
        <v>0</v>
      </c>
      <c r="L75" s="56">
        <f t="shared" si="12"/>
        <v>0</v>
      </c>
    </row>
    <row r="76" spans="1:21" s="1" customFormat="1" ht="12.75" x14ac:dyDescent="0.2">
      <c r="A76" s="179"/>
      <c r="B76" s="158"/>
      <c r="C76" s="171">
        <v>44256</v>
      </c>
      <c r="D76" s="130" t="str">
        <f>IF(I76=TRUE,"Første a'conto efter fastprisperioden indtastes her"," ")</f>
        <v xml:space="preserve"> </v>
      </c>
      <c r="E76" s="136"/>
      <c r="F76" s="127">
        <v>44270</v>
      </c>
      <c r="G76" s="137">
        <f>ROUND($E$77+($E$81-$E$77)/3,1)</f>
        <v>107.8</v>
      </c>
      <c r="H76" s="153">
        <f>(B76*(G76-G$26)/G$26)/30*J76</f>
        <v>0</v>
      </c>
      <c r="I76" s="163" t="b">
        <f t="shared" si="10"/>
        <v>0</v>
      </c>
      <c r="J76" s="56">
        <f t="shared" si="3"/>
        <v>30</v>
      </c>
      <c r="K76" s="56">
        <f t="shared" si="11"/>
        <v>0</v>
      </c>
      <c r="L76" s="56">
        <f t="shared" si="12"/>
        <v>0</v>
      </c>
    </row>
    <row r="77" spans="1:21" s="1" customFormat="1" ht="12.75" x14ac:dyDescent="0.2">
      <c r="A77" s="180"/>
      <c r="B77" s="159"/>
      <c r="C77" s="171"/>
      <c r="D77" s="133" t="s">
        <v>18</v>
      </c>
      <c r="E77" s="134">
        <v>107</v>
      </c>
      <c r="F77" s="127"/>
      <c r="G77" s="137"/>
      <c r="H77" s="153"/>
      <c r="I77" s="163" t="b">
        <f t="shared" si="10"/>
        <v>0</v>
      </c>
      <c r="J77" s="56">
        <f t="shared" si="3"/>
        <v>30</v>
      </c>
      <c r="K77" s="56">
        <f t="shared" si="11"/>
        <v>0</v>
      </c>
      <c r="L77" s="56">
        <f t="shared" si="12"/>
        <v>0</v>
      </c>
    </row>
    <row r="78" spans="1:21" s="1" customFormat="1" ht="12.75" x14ac:dyDescent="0.2">
      <c r="A78" s="179"/>
      <c r="B78" s="158"/>
      <c r="C78" s="171">
        <v>44287</v>
      </c>
      <c r="D78" s="130" t="str">
        <f>IF(I78=TRUE,"Første a'conto efter fastprisperioden indtastes her"," ")</f>
        <v xml:space="preserve"> </v>
      </c>
      <c r="E78" s="136"/>
      <c r="F78" s="127">
        <v>44301</v>
      </c>
      <c r="G78" s="137">
        <f>ROUND($E$77+($E$81-$E$77)/3*2,1)</f>
        <v>108.5</v>
      </c>
      <c r="H78" s="153">
        <f>(B78*(G78-G$26)/G$26)/30*J78</f>
        <v>0</v>
      </c>
      <c r="I78" s="163" t="b">
        <f t="shared" si="10"/>
        <v>0</v>
      </c>
      <c r="J78" s="56">
        <f t="shared" si="3"/>
        <v>30</v>
      </c>
      <c r="K78" s="56">
        <f t="shared" si="11"/>
        <v>0</v>
      </c>
      <c r="L78" s="56">
        <f t="shared" si="12"/>
        <v>0</v>
      </c>
    </row>
    <row r="79" spans="1:21" s="1" customFormat="1" ht="12.75" x14ac:dyDescent="0.2">
      <c r="A79" s="179"/>
      <c r="B79" s="158"/>
      <c r="C79" s="171">
        <v>44317</v>
      </c>
      <c r="D79" s="130" t="str">
        <f>IF(I79=TRUE,"Første a'conto efter fastprisperioden indtastes her"," ")</f>
        <v xml:space="preserve"> </v>
      </c>
      <c r="E79" s="136"/>
      <c r="F79" s="127">
        <v>44331</v>
      </c>
      <c r="G79" s="137">
        <f>ROUND($E$77+($E$81-$E$77)/3*3,1)</f>
        <v>109.3</v>
      </c>
      <c r="H79" s="153">
        <f>(B79*(G79-G$26)/G$26)/30*J79</f>
        <v>0</v>
      </c>
      <c r="I79" s="163" t="b">
        <f t="shared" si="10"/>
        <v>0</v>
      </c>
      <c r="J79" s="56">
        <f t="shared" si="3"/>
        <v>30</v>
      </c>
      <c r="K79" s="56">
        <f t="shared" si="11"/>
        <v>0</v>
      </c>
      <c r="L79" s="56">
        <f t="shared" si="12"/>
        <v>0</v>
      </c>
    </row>
    <row r="80" spans="1:21" s="1" customFormat="1" ht="12.75" x14ac:dyDescent="0.2">
      <c r="A80" s="179"/>
      <c r="B80" s="158"/>
      <c r="C80" s="171">
        <v>44348</v>
      </c>
      <c r="D80" s="130" t="str">
        <f>IF(I80=TRUE,"Første a'conto efter fastprisperioden indtastes her"," ")</f>
        <v xml:space="preserve"> </v>
      </c>
      <c r="E80" s="136"/>
      <c r="F80" s="127">
        <v>44362</v>
      </c>
      <c r="G80" s="137">
        <f>ROUND($E$81+($E$85-$E$81)/3,1)</f>
        <v>109.8</v>
      </c>
      <c r="H80" s="153">
        <f>(B80*(G80-G$26)/G$26)/30*J80</f>
        <v>0</v>
      </c>
      <c r="I80" s="163" t="b">
        <f t="shared" si="10"/>
        <v>0</v>
      </c>
      <c r="J80" s="56">
        <f t="shared" si="3"/>
        <v>30</v>
      </c>
      <c r="K80" s="56">
        <f t="shared" si="11"/>
        <v>0</v>
      </c>
      <c r="L80" s="56">
        <f t="shared" si="12"/>
        <v>0</v>
      </c>
    </row>
    <row r="81" spans="1:12" s="1" customFormat="1" ht="12.75" x14ac:dyDescent="0.2">
      <c r="A81" s="180"/>
      <c r="B81" s="159"/>
      <c r="C81" s="171"/>
      <c r="D81" s="133" t="s">
        <v>19</v>
      </c>
      <c r="E81" s="134">
        <v>109.3</v>
      </c>
      <c r="F81" s="127"/>
      <c r="G81" s="137"/>
      <c r="H81" s="153"/>
      <c r="I81" s="163" t="b">
        <f t="shared" si="10"/>
        <v>0</v>
      </c>
      <c r="J81" s="56">
        <f t="shared" si="3"/>
        <v>30</v>
      </c>
      <c r="K81" s="56">
        <f t="shared" si="11"/>
        <v>0</v>
      </c>
      <c r="L81" s="56">
        <f t="shared" si="12"/>
        <v>0</v>
      </c>
    </row>
    <row r="82" spans="1:12" s="1" customFormat="1" ht="12.75" x14ac:dyDescent="0.2">
      <c r="A82" s="179"/>
      <c r="B82" s="158"/>
      <c r="C82" s="171">
        <v>44378</v>
      </c>
      <c r="D82" s="130" t="str">
        <f>IF(I82=TRUE,"Første a'conto efter fastprisperioden indtastes her"," ")</f>
        <v xml:space="preserve"> </v>
      </c>
      <c r="E82" s="136"/>
      <c r="F82" s="127">
        <v>44392</v>
      </c>
      <c r="G82" s="137">
        <f>ROUND($E$81+($E$85-$E$81)/3*2,1)</f>
        <v>110.2</v>
      </c>
      <c r="H82" s="153">
        <f>(B82*(G82-G$26)/G$26)/30*J82</f>
        <v>0</v>
      </c>
      <c r="I82" s="163" t="b">
        <f t="shared" si="10"/>
        <v>0</v>
      </c>
      <c r="J82" s="56">
        <f t="shared" si="3"/>
        <v>30</v>
      </c>
      <c r="K82" s="56">
        <f t="shared" si="11"/>
        <v>0</v>
      </c>
      <c r="L82" s="56">
        <f t="shared" si="12"/>
        <v>0</v>
      </c>
    </row>
    <row r="83" spans="1:12" s="1" customFormat="1" ht="12.75" x14ac:dyDescent="0.2">
      <c r="A83" s="179"/>
      <c r="B83" s="158"/>
      <c r="C83" s="171">
        <v>44409</v>
      </c>
      <c r="D83" s="130" t="str">
        <f>IF(I83=TRUE,"Første a'conto efter fastprisperioden indtastes her"," ")</f>
        <v xml:space="preserve"> </v>
      </c>
      <c r="E83" s="136"/>
      <c r="F83" s="127">
        <v>44423</v>
      </c>
      <c r="G83" s="137">
        <f>ROUND($E$81+($E$85-$E$81)/3*3,1)</f>
        <v>110.7</v>
      </c>
      <c r="H83" s="153">
        <f>(B83*(G83-G$26)/G$26)/30*J83</f>
        <v>0</v>
      </c>
      <c r="I83" s="163" t="b">
        <f t="shared" si="10"/>
        <v>0</v>
      </c>
      <c r="J83" s="56">
        <f t="shared" si="3"/>
        <v>30</v>
      </c>
      <c r="K83" s="56">
        <f t="shared" si="11"/>
        <v>0</v>
      </c>
      <c r="L83" s="56">
        <f t="shared" si="12"/>
        <v>0</v>
      </c>
    </row>
    <row r="84" spans="1:12" s="1" customFormat="1" ht="12.75" x14ac:dyDescent="0.2">
      <c r="A84" s="179"/>
      <c r="B84" s="158"/>
      <c r="C84" s="171">
        <v>44440</v>
      </c>
      <c r="D84" s="130" t="str">
        <f>IF(I84=TRUE,"Første a'conto efter fastprisperioden indtastes her"," ")</f>
        <v xml:space="preserve"> </v>
      </c>
      <c r="E84" s="136"/>
      <c r="F84" s="127">
        <v>44454</v>
      </c>
      <c r="G84" s="137">
        <f>ROUND($E$85+($E$89-$E$85)/3,1)</f>
        <v>111.4</v>
      </c>
      <c r="H84" s="153">
        <f>(B84*(G84-G$26)/G$26)/30*J84</f>
        <v>0</v>
      </c>
      <c r="I84" s="163" t="b">
        <f t="shared" si="10"/>
        <v>0</v>
      </c>
      <c r="J84" s="56">
        <f t="shared" si="3"/>
        <v>30</v>
      </c>
      <c r="K84" s="56">
        <f t="shared" si="11"/>
        <v>0</v>
      </c>
      <c r="L84" s="56">
        <f t="shared" si="12"/>
        <v>0</v>
      </c>
    </row>
    <row r="85" spans="1:12" s="1" customFormat="1" ht="12.75" x14ac:dyDescent="0.2">
      <c r="A85" s="180"/>
      <c r="B85" s="159"/>
      <c r="C85" s="171"/>
      <c r="D85" s="133" t="s">
        <v>20</v>
      </c>
      <c r="E85" s="134">
        <v>110.7</v>
      </c>
      <c r="F85" s="129"/>
      <c r="G85" s="135"/>
      <c r="H85" s="153"/>
      <c r="I85" s="163" t="b">
        <f t="shared" si="10"/>
        <v>0</v>
      </c>
      <c r="J85" s="56">
        <f t="shared" si="3"/>
        <v>30</v>
      </c>
      <c r="K85" s="56">
        <f t="shared" si="11"/>
        <v>0</v>
      </c>
      <c r="L85" s="56">
        <f t="shared" si="12"/>
        <v>0</v>
      </c>
    </row>
    <row r="86" spans="1:12" s="1" customFormat="1" ht="12.75" x14ac:dyDescent="0.2">
      <c r="A86" s="179"/>
      <c r="B86" s="158"/>
      <c r="C86" s="171">
        <v>44470</v>
      </c>
      <c r="D86" s="130" t="str">
        <f>IF(I86=TRUE,"Første a'conto efter fastprisperioden indtastes her"," ")</f>
        <v xml:space="preserve"> </v>
      </c>
      <c r="E86" s="136"/>
      <c r="F86" s="127">
        <v>44484</v>
      </c>
      <c r="G86" s="137">
        <f>ROUND($E$85+($E$89-$E$85)/3*2,1)</f>
        <v>112.1</v>
      </c>
      <c r="H86" s="153">
        <f>(B86*(G86-G$26)/G$26)/30*J86</f>
        <v>0</v>
      </c>
      <c r="I86" s="163" t="b">
        <f t="shared" si="10"/>
        <v>0</v>
      </c>
      <c r="J86" s="56">
        <f t="shared" si="3"/>
        <v>30</v>
      </c>
      <c r="K86" s="56">
        <f t="shared" si="11"/>
        <v>0</v>
      </c>
      <c r="L86" s="56">
        <f t="shared" si="12"/>
        <v>0</v>
      </c>
    </row>
    <row r="87" spans="1:12" s="1" customFormat="1" ht="12.75" x14ac:dyDescent="0.2">
      <c r="A87" s="179"/>
      <c r="B87" s="158"/>
      <c r="C87" s="171">
        <v>44501</v>
      </c>
      <c r="D87" s="130" t="str">
        <f>IF(I87=TRUE,"Første a'conto efter fastprisperioden indtastes her"," ")</f>
        <v xml:space="preserve"> </v>
      </c>
      <c r="E87" s="136"/>
      <c r="F87" s="127">
        <v>44515</v>
      </c>
      <c r="G87" s="137">
        <f>ROUND($E$85+($E$89-$E$85)/3*3,1)</f>
        <v>112.8</v>
      </c>
      <c r="H87" s="153">
        <f>(B87*(G87-G$26)/G$26)/30*J87</f>
        <v>0</v>
      </c>
      <c r="I87" s="163" t="b">
        <f t="shared" si="10"/>
        <v>0</v>
      </c>
      <c r="J87" s="56">
        <f t="shared" si="3"/>
        <v>30</v>
      </c>
      <c r="K87" s="56">
        <f t="shared" si="11"/>
        <v>0</v>
      </c>
      <c r="L87" s="56">
        <f t="shared" si="12"/>
        <v>0</v>
      </c>
    </row>
    <row r="88" spans="1:12" s="1" customFormat="1" ht="12.75" x14ac:dyDescent="0.2">
      <c r="A88" s="179"/>
      <c r="B88" s="158"/>
      <c r="C88" s="171">
        <v>44531</v>
      </c>
      <c r="D88" s="130" t="str">
        <f>IF(I88=TRUE,"Første a'conto efter fastprisperioden indtastes her"," ")</f>
        <v xml:space="preserve"> </v>
      </c>
      <c r="E88" s="136"/>
      <c r="F88" s="127">
        <v>44545</v>
      </c>
      <c r="G88" s="137">
        <f>ROUND($E$89+($E$93-$E$89)/3,1)</f>
        <v>113.8</v>
      </c>
      <c r="H88" s="153">
        <f>(B88*(G88-G$26)/G$26)/30*J88</f>
        <v>0</v>
      </c>
      <c r="I88" s="163" t="b">
        <f t="shared" si="10"/>
        <v>0</v>
      </c>
      <c r="J88" s="56">
        <f t="shared" si="3"/>
        <v>30</v>
      </c>
      <c r="K88" s="56">
        <f t="shared" si="11"/>
        <v>0</v>
      </c>
      <c r="L88" s="56">
        <f t="shared" si="12"/>
        <v>0</v>
      </c>
    </row>
    <row r="89" spans="1:12" s="1" customFormat="1" ht="12.75" x14ac:dyDescent="0.2">
      <c r="A89" s="180"/>
      <c r="B89" s="159"/>
      <c r="C89" s="171"/>
      <c r="D89" s="133" t="s">
        <v>21</v>
      </c>
      <c r="E89" s="134">
        <v>112.8</v>
      </c>
      <c r="F89" s="127"/>
      <c r="G89" s="137"/>
      <c r="H89" s="153"/>
      <c r="I89" s="163" t="b">
        <f t="shared" si="10"/>
        <v>0</v>
      </c>
      <c r="J89" s="56">
        <f t="shared" si="3"/>
        <v>30</v>
      </c>
      <c r="K89" s="56">
        <f t="shared" si="11"/>
        <v>0</v>
      </c>
      <c r="L89" s="56">
        <f t="shared" si="12"/>
        <v>0</v>
      </c>
    </row>
    <row r="90" spans="1:12" s="1" customFormat="1" ht="12.75" x14ac:dyDescent="0.2">
      <c r="A90" s="179"/>
      <c r="B90" s="158"/>
      <c r="C90" s="171">
        <v>44562</v>
      </c>
      <c r="D90" s="130" t="str">
        <f>IF(I90=TRUE,"Første a'conto efter fastprisperioden indtastes her"," ")</f>
        <v xml:space="preserve"> </v>
      </c>
      <c r="E90" s="136"/>
      <c r="F90" s="127">
        <v>44576</v>
      </c>
      <c r="G90" s="137">
        <f>ROUND($E$89+($E$93-$E$89)/3*2,1)</f>
        <v>114.9</v>
      </c>
      <c r="H90" s="153">
        <f>(B90*(G90-G$26)/G$26)/30*J90</f>
        <v>0</v>
      </c>
      <c r="I90" s="163" t="b">
        <f t="shared" si="10"/>
        <v>0</v>
      </c>
      <c r="J90" s="56">
        <f t="shared" si="3"/>
        <v>30</v>
      </c>
      <c r="K90" s="56">
        <f t="shared" si="11"/>
        <v>0</v>
      </c>
      <c r="L90" s="56">
        <f t="shared" si="12"/>
        <v>0</v>
      </c>
    </row>
    <row r="91" spans="1:12" s="1" customFormat="1" ht="12.75" x14ac:dyDescent="0.2">
      <c r="A91" s="179"/>
      <c r="B91" s="158"/>
      <c r="C91" s="171">
        <v>44593</v>
      </c>
      <c r="D91" s="130" t="str">
        <f>IF(I91=TRUE,"Første a'conto efter fastprisperioden indtastes her"," ")</f>
        <v xml:space="preserve"> </v>
      </c>
      <c r="E91" s="136"/>
      <c r="F91" s="127">
        <v>44607</v>
      </c>
      <c r="G91" s="137">
        <f>ROUND($E$89+($E$93-$E$89)/3*3,1)</f>
        <v>115.9</v>
      </c>
      <c r="H91" s="153">
        <f>(B91*(G91-G$26)/G$26)/30*J91</f>
        <v>0</v>
      </c>
      <c r="I91" s="163" t="b">
        <f t="shared" si="10"/>
        <v>0</v>
      </c>
      <c r="J91" s="56">
        <f t="shared" si="3"/>
        <v>30</v>
      </c>
      <c r="K91" s="56">
        <f t="shared" si="11"/>
        <v>0</v>
      </c>
      <c r="L91" s="56">
        <f t="shared" si="12"/>
        <v>0</v>
      </c>
    </row>
    <row r="92" spans="1:12" s="1" customFormat="1" ht="12.75" x14ac:dyDescent="0.2">
      <c r="A92" s="179"/>
      <c r="B92" s="158"/>
      <c r="C92" s="171">
        <v>44621</v>
      </c>
      <c r="D92" s="130" t="str">
        <f>IF(I92=TRUE,"Første a'conto efter fastprisperioden indtastes her"," ")</f>
        <v xml:space="preserve"> </v>
      </c>
      <c r="E92" s="136"/>
      <c r="F92" s="127">
        <v>44635</v>
      </c>
      <c r="G92" s="137">
        <f>ROUND($E$93+($E$97-$E$93)/3,1)</f>
        <v>117.3</v>
      </c>
      <c r="H92" s="153">
        <f>(B92*(G92-G$26)/G$26)/30*J92</f>
        <v>0</v>
      </c>
      <c r="I92" s="163" t="b">
        <f t="shared" si="10"/>
        <v>0</v>
      </c>
      <c r="J92" s="56">
        <f t="shared" si="3"/>
        <v>30</v>
      </c>
      <c r="K92" s="56">
        <f t="shared" si="11"/>
        <v>0</v>
      </c>
      <c r="L92" s="56">
        <f t="shared" si="12"/>
        <v>0</v>
      </c>
    </row>
    <row r="93" spans="1:12" s="1" customFormat="1" ht="12.75" x14ac:dyDescent="0.2">
      <c r="A93" s="180"/>
      <c r="B93" s="159"/>
      <c r="C93" s="171"/>
      <c r="D93" s="133" t="s">
        <v>22</v>
      </c>
      <c r="E93" s="134">
        <v>115.9</v>
      </c>
      <c r="F93" s="127"/>
      <c r="G93" s="137"/>
      <c r="H93" s="153"/>
      <c r="I93" s="163" t="b">
        <f t="shared" si="10"/>
        <v>0</v>
      </c>
      <c r="J93" s="56">
        <f t="shared" si="3"/>
        <v>30</v>
      </c>
      <c r="K93" s="56">
        <f t="shared" si="11"/>
        <v>0</v>
      </c>
      <c r="L93" s="56">
        <f t="shared" si="12"/>
        <v>0</v>
      </c>
    </row>
    <row r="94" spans="1:12" s="1" customFormat="1" ht="12.75" x14ac:dyDescent="0.2">
      <c r="A94" s="179"/>
      <c r="B94" s="158"/>
      <c r="C94" s="171">
        <v>44652</v>
      </c>
      <c r="D94" s="130" t="str">
        <f>IF(I94=TRUE,"Første a'conto efter fastprisperioden indtastes her"," ")</f>
        <v xml:space="preserve"> </v>
      </c>
      <c r="E94" s="136"/>
      <c r="F94" s="127">
        <v>44666</v>
      </c>
      <c r="G94" s="137">
        <f>ROUND($E$93+($E$97-$E$93)/3*2,1)</f>
        <v>118.7</v>
      </c>
      <c r="H94" s="153">
        <f>(B94*(G94-G$26)/G$26)/30*J94</f>
        <v>0</v>
      </c>
      <c r="I94" s="163" t="b">
        <f t="shared" si="10"/>
        <v>0</v>
      </c>
      <c r="J94" s="56">
        <f t="shared" si="3"/>
        <v>30</v>
      </c>
      <c r="K94" s="56">
        <f t="shared" si="11"/>
        <v>0</v>
      </c>
      <c r="L94" s="56">
        <f t="shared" si="12"/>
        <v>0</v>
      </c>
    </row>
    <row r="95" spans="1:12" s="1" customFormat="1" ht="12.75" x14ac:dyDescent="0.2">
      <c r="A95" s="179"/>
      <c r="B95" s="158"/>
      <c r="C95" s="171">
        <v>44682</v>
      </c>
      <c r="D95" s="130" t="str">
        <f>IF(I95=TRUE,"Første a'conto efter fastprisperioden indtastes her"," ")</f>
        <v xml:space="preserve"> </v>
      </c>
      <c r="E95" s="136"/>
      <c r="F95" s="127">
        <v>44696</v>
      </c>
      <c r="G95" s="137">
        <f>ROUND($E$93+($E$97-$E$93)/3*3,1)</f>
        <v>120.1</v>
      </c>
      <c r="H95" s="153">
        <f>(B95*(G95-G$26)/G$26)/30*J95</f>
        <v>0</v>
      </c>
      <c r="I95" s="163" t="b">
        <f t="shared" si="10"/>
        <v>0</v>
      </c>
      <c r="J95" s="56">
        <f t="shared" si="3"/>
        <v>30</v>
      </c>
      <c r="K95" s="56">
        <f t="shared" si="11"/>
        <v>0</v>
      </c>
      <c r="L95" s="56">
        <f t="shared" si="12"/>
        <v>0</v>
      </c>
    </row>
    <row r="96" spans="1:12" s="1" customFormat="1" ht="12.75" x14ac:dyDescent="0.2">
      <c r="A96" s="179"/>
      <c r="B96" s="158"/>
      <c r="C96" s="171">
        <v>44713</v>
      </c>
      <c r="D96" s="130" t="str">
        <f>IF(I96=TRUE,"Første a'conto efter fastprisperioden indtastes her"," ")</f>
        <v xml:space="preserve"> </v>
      </c>
      <c r="E96" s="136"/>
      <c r="F96" s="127">
        <v>44727</v>
      </c>
      <c r="G96" s="137">
        <f>ROUND($E$97+($E$101-$E$97)/3,1)</f>
        <v>80.099999999999994</v>
      </c>
      <c r="H96" s="153">
        <f>(B96*(G96-G$26)/G$26)/30*J96</f>
        <v>0</v>
      </c>
      <c r="I96" s="163" t="b">
        <f t="shared" si="10"/>
        <v>0</v>
      </c>
      <c r="J96" s="56">
        <f t="shared" si="3"/>
        <v>30</v>
      </c>
      <c r="K96" s="56">
        <f t="shared" si="11"/>
        <v>0</v>
      </c>
      <c r="L96" s="56">
        <f t="shared" si="12"/>
        <v>0</v>
      </c>
    </row>
    <row r="97" spans="1:12" s="1" customFormat="1" ht="12.75" x14ac:dyDescent="0.2">
      <c r="A97" s="180"/>
      <c r="B97" s="159"/>
      <c r="C97" s="171"/>
      <c r="D97" s="133" t="s">
        <v>23</v>
      </c>
      <c r="E97" s="134">
        <v>120.1</v>
      </c>
      <c r="F97" s="127"/>
      <c r="G97" s="137"/>
      <c r="H97" s="153"/>
      <c r="I97" s="163" t="b">
        <f t="shared" si="10"/>
        <v>0</v>
      </c>
      <c r="J97" s="56">
        <f t="shared" si="3"/>
        <v>30</v>
      </c>
      <c r="K97" s="56">
        <f t="shared" si="11"/>
        <v>0</v>
      </c>
      <c r="L97" s="56">
        <f t="shared" si="12"/>
        <v>0</v>
      </c>
    </row>
    <row r="98" spans="1:12" s="1" customFormat="1" ht="12.75" x14ac:dyDescent="0.2">
      <c r="A98" s="179"/>
      <c r="B98" s="158"/>
      <c r="C98" s="171">
        <v>44743</v>
      </c>
      <c r="D98" s="130" t="str">
        <f>IF(I98=TRUE,"Første a'conto efter fastprisperioden indtastes her"," ")</f>
        <v xml:space="preserve"> </v>
      </c>
      <c r="E98" s="136"/>
      <c r="F98" s="127">
        <v>44757</v>
      </c>
      <c r="G98" s="137">
        <f>ROUND($E$97+($E$101-$E$97)/3*2,1)</f>
        <v>40</v>
      </c>
      <c r="H98" s="153">
        <f>(B98*(G98-G$26)/G$26)/30*J98</f>
        <v>0</v>
      </c>
      <c r="I98" s="163" t="b">
        <f t="shared" si="10"/>
        <v>0</v>
      </c>
      <c r="J98" s="56">
        <f t="shared" si="3"/>
        <v>30</v>
      </c>
      <c r="K98" s="56">
        <f t="shared" si="11"/>
        <v>0</v>
      </c>
      <c r="L98" s="56">
        <f t="shared" si="12"/>
        <v>0</v>
      </c>
    </row>
    <row r="99" spans="1:12" s="1" customFormat="1" ht="12.75" x14ac:dyDescent="0.2">
      <c r="A99" s="179"/>
      <c r="B99" s="158"/>
      <c r="C99" s="171">
        <v>44774</v>
      </c>
      <c r="D99" s="130" t="str">
        <f>IF(I99=TRUE,"Første a'conto efter fastprisperioden indtastes her"," ")</f>
        <v xml:space="preserve"> </v>
      </c>
      <c r="E99" s="136"/>
      <c r="F99" s="127">
        <v>44788</v>
      </c>
      <c r="G99" s="137">
        <f>ROUND($E$97+($E$101-$E$97)/3*3,1)</f>
        <v>0</v>
      </c>
      <c r="H99" s="153">
        <f>(B99*(G99-G$26)/G$26)/30*J99</f>
        <v>0</v>
      </c>
      <c r="I99" s="163" t="b">
        <f t="shared" si="10"/>
        <v>0</v>
      </c>
      <c r="J99" s="56">
        <f t="shared" si="3"/>
        <v>30</v>
      </c>
      <c r="K99" s="56">
        <f t="shared" si="11"/>
        <v>0</v>
      </c>
      <c r="L99" s="56">
        <f t="shared" si="12"/>
        <v>0</v>
      </c>
    </row>
    <row r="100" spans="1:12" s="1" customFormat="1" ht="12.75" x14ac:dyDescent="0.2">
      <c r="A100" s="179"/>
      <c r="B100" s="158"/>
      <c r="C100" s="171">
        <v>44805</v>
      </c>
      <c r="D100" s="130" t="str">
        <f>IF(I100=TRUE,"Første a'conto efter fastprisperioden indtastes her"," ")</f>
        <v xml:space="preserve"> </v>
      </c>
      <c r="E100" s="136"/>
      <c r="F100" s="127">
        <v>44819</v>
      </c>
      <c r="G100" s="137">
        <f>ROUND($E$101+($E$105-$E$101)/3,1)</f>
        <v>0</v>
      </c>
      <c r="H100" s="153">
        <f>(B100*(G100-G$26)/G$26)/30*J100</f>
        <v>0</v>
      </c>
      <c r="I100" s="163" t="b">
        <f t="shared" si="10"/>
        <v>0</v>
      </c>
      <c r="J100" s="56">
        <f t="shared" si="3"/>
        <v>30</v>
      </c>
      <c r="K100" s="56">
        <f t="shared" si="11"/>
        <v>0</v>
      </c>
      <c r="L100" s="56">
        <f t="shared" si="12"/>
        <v>0</v>
      </c>
    </row>
    <row r="101" spans="1:12" s="1" customFormat="1" ht="12.75" x14ac:dyDescent="0.2">
      <c r="A101" s="180"/>
      <c r="B101" s="159"/>
      <c r="C101" s="171"/>
      <c r="D101" s="133" t="s">
        <v>24</v>
      </c>
      <c r="E101" s="134"/>
      <c r="F101" s="129"/>
      <c r="G101" s="135"/>
      <c r="H101" s="153"/>
      <c r="I101" s="163" t="b">
        <f t="shared" si="10"/>
        <v>0</v>
      </c>
      <c r="J101" s="56">
        <f t="shared" si="3"/>
        <v>30</v>
      </c>
      <c r="K101" s="56">
        <f t="shared" si="11"/>
        <v>0</v>
      </c>
      <c r="L101" s="56">
        <f t="shared" si="12"/>
        <v>0</v>
      </c>
    </row>
    <row r="102" spans="1:12" s="1" customFormat="1" ht="12.75" x14ac:dyDescent="0.2">
      <c r="A102" s="179"/>
      <c r="B102" s="158"/>
      <c r="C102" s="171">
        <v>44835</v>
      </c>
      <c r="D102" s="130" t="str">
        <f>IF(I102=TRUE,"Første a'conto efter fastprisperioden indtastes her"," ")</f>
        <v xml:space="preserve"> </v>
      </c>
      <c r="E102" s="136"/>
      <c r="F102" s="127">
        <v>44849</v>
      </c>
      <c r="G102" s="137">
        <f>ROUND($E$101+($E$105-$E$101)/3*2,1)</f>
        <v>0</v>
      </c>
      <c r="H102" s="153">
        <f>(B102*(G102-G$26)/G$26)/30*J102</f>
        <v>0</v>
      </c>
      <c r="I102" s="163" t="b">
        <f t="shared" ref="I102:I133" si="13">IF(C102=$M$1,TRUE,FALSE)</f>
        <v>0</v>
      </c>
      <c r="J102" s="56">
        <f t="shared" si="3"/>
        <v>30</v>
      </c>
      <c r="K102" s="56">
        <f t="shared" ref="K102:K133" si="14">IF(D102=$D$18,E102,0)</f>
        <v>0</v>
      </c>
      <c r="L102" s="56">
        <f t="shared" ref="L102:L133" si="15">IF(D102=$D$19,E102,0)</f>
        <v>0</v>
      </c>
    </row>
    <row r="103" spans="1:12" s="1" customFormat="1" ht="12.75" x14ac:dyDescent="0.2">
      <c r="A103" s="179"/>
      <c r="B103" s="158"/>
      <c r="C103" s="171">
        <v>44866</v>
      </c>
      <c r="D103" s="130" t="str">
        <f>IF(I103=TRUE,"Første a'conto efter fastprisperioden indtastes her"," ")</f>
        <v xml:space="preserve"> </v>
      </c>
      <c r="E103" s="136"/>
      <c r="F103" s="127">
        <v>44880</v>
      </c>
      <c r="G103" s="137">
        <f>ROUND($E$101+($E$105-$E$101)/3*3,1)</f>
        <v>0</v>
      </c>
      <c r="H103" s="153">
        <f>(B103*(G103-G$26)/G$26)/30*J103</f>
        <v>0</v>
      </c>
      <c r="I103" s="163" t="b">
        <f t="shared" si="13"/>
        <v>0</v>
      </c>
      <c r="J103" s="56">
        <f t="shared" ref="J103:J157" si="16">IF(I103=TRUE,$O$1,30)</f>
        <v>30</v>
      </c>
      <c r="K103" s="56">
        <f t="shared" si="14"/>
        <v>0</v>
      </c>
      <c r="L103" s="56">
        <f t="shared" si="15"/>
        <v>0</v>
      </c>
    </row>
    <row r="104" spans="1:12" s="1" customFormat="1" ht="12.75" x14ac:dyDescent="0.2">
      <c r="A104" s="179"/>
      <c r="B104" s="158"/>
      <c r="C104" s="171">
        <v>44896</v>
      </c>
      <c r="D104" s="130" t="str">
        <f>IF(I104=TRUE,"Første a'conto efter fastprisperioden indtastes her"," ")</f>
        <v xml:space="preserve"> </v>
      </c>
      <c r="E104" s="136"/>
      <c r="F104" s="127">
        <v>44910</v>
      </c>
      <c r="G104" s="137">
        <f>ROUND($E$105+($E$109-$E$105)/3,1)</f>
        <v>0</v>
      </c>
      <c r="H104" s="153">
        <f>(B104*(G104-G$26)/G$26)/30*J104</f>
        <v>0</v>
      </c>
      <c r="I104" s="163" t="b">
        <f t="shared" si="13"/>
        <v>0</v>
      </c>
      <c r="J104" s="56">
        <f t="shared" si="16"/>
        <v>30</v>
      </c>
      <c r="K104" s="56">
        <f t="shared" si="14"/>
        <v>0</v>
      </c>
      <c r="L104" s="56">
        <f t="shared" si="15"/>
        <v>0</v>
      </c>
    </row>
    <row r="105" spans="1:12" s="1" customFormat="1" ht="12.75" x14ac:dyDescent="0.2">
      <c r="A105" s="180"/>
      <c r="B105" s="159"/>
      <c r="C105" s="171"/>
      <c r="D105" s="133" t="s">
        <v>25</v>
      </c>
      <c r="E105" s="134"/>
      <c r="F105" s="127"/>
      <c r="G105" s="137"/>
      <c r="H105" s="153"/>
      <c r="I105" s="163" t="b">
        <f t="shared" si="13"/>
        <v>0</v>
      </c>
      <c r="J105" s="56">
        <f t="shared" si="16"/>
        <v>30</v>
      </c>
      <c r="K105" s="56">
        <f t="shared" si="14"/>
        <v>0</v>
      </c>
      <c r="L105" s="56">
        <f t="shared" si="15"/>
        <v>0</v>
      </c>
    </row>
    <row r="106" spans="1:12" s="1" customFormat="1" ht="12.75" x14ac:dyDescent="0.2">
      <c r="A106" s="179"/>
      <c r="B106" s="158"/>
      <c r="C106" s="171">
        <v>44927</v>
      </c>
      <c r="D106" s="130" t="str">
        <f>IF(I106=TRUE,"Første a'conto efter fastprisperioden indtastes her"," ")</f>
        <v xml:space="preserve"> </v>
      </c>
      <c r="E106" s="136"/>
      <c r="F106" s="127">
        <v>44941</v>
      </c>
      <c r="G106" s="137">
        <f>ROUND($E$105+($E$109-$E$105)/3*2,1)</f>
        <v>0</v>
      </c>
      <c r="H106" s="153">
        <f>(B106*(G106-G$26)/G$26)/30*J106</f>
        <v>0</v>
      </c>
      <c r="I106" s="163" t="b">
        <f t="shared" si="13"/>
        <v>0</v>
      </c>
      <c r="J106" s="56">
        <f t="shared" si="16"/>
        <v>30</v>
      </c>
      <c r="K106" s="56">
        <f t="shared" si="14"/>
        <v>0</v>
      </c>
      <c r="L106" s="56">
        <f t="shared" si="15"/>
        <v>0</v>
      </c>
    </row>
    <row r="107" spans="1:12" s="1" customFormat="1" ht="12.75" x14ac:dyDescent="0.2">
      <c r="A107" s="179"/>
      <c r="B107" s="158"/>
      <c r="C107" s="171">
        <v>44958</v>
      </c>
      <c r="D107" s="130" t="str">
        <f>IF(I107=TRUE,"Første a'conto efter fastprisperioden indtastes her"," ")</f>
        <v xml:space="preserve"> </v>
      </c>
      <c r="E107" s="136"/>
      <c r="F107" s="127">
        <v>44972</v>
      </c>
      <c r="G107" s="137">
        <f>ROUND($E$105+($E$109-$E$105)/3*3,1)</f>
        <v>0</v>
      </c>
      <c r="H107" s="153">
        <f>(B107*(G107-G$26)/G$26)/30*J107</f>
        <v>0</v>
      </c>
      <c r="I107" s="163" t="b">
        <f t="shared" si="13"/>
        <v>0</v>
      </c>
      <c r="J107" s="56">
        <f t="shared" si="16"/>
        <v>30</v>
      </c>
      <c r="K107" s="56">
        <f t="shared" si="14"/>
        <v>0</v>
      </c>
      <c r="L107" s="56">
        <f t="shared" si="15"/>
        <v>0</v>
      </c>
    </row>
    <row r="108" spans="1:12" s="1" customFormat="1" ht="12.75" x14ac:dyDescent="0.2">
      <c r="A108" s="179"/>
      <c r="B108" s="158"/>
      <c r="C108" s="171">
        <v>44986</v>
      </c>
      <c r="D108" s="130" t="str">
        <f>IF(I108=TRUE,"Første a'conto efter fastprisperioden indtastes her"," ")</f>
        <v xml:space="preserve"> </v>
      </c>
      <c r="E108" s="136"/>
      <c r="F108" s="127">
        <v>45000</v>
      </c>
      <c r="G108" s="137">
        <f>ROUND($E$109+($E$113-$E$109)/3,1)</f>
        <v>0</v>
      </c>
      <c r="H108" s="153">
        <f>(B108*(G108-G$26)/G$26)/30*J108</f>
        <v>0</v>
      </c>
      <c r="I108" s="163" t="b">
        <f t="shared" si="13"/>
        <v>0</v>
      </c>
      <c r="J108" s="56">
        <f t="shared" si="16"/>
        <v>30</v>
      </c>
      <c r="K108" s="56">
        <f t="shared" si="14"/>
        <v>0</v>
      </c>
      <c r="L108" s="56">
        <f t="shared" si="15"/>
        <v>0</v>
      </c>
    </row>
    <row r="109" spans="1:12" s="1" customFormat="1" ht="12.75" x14ac:dyDescent="0.2">
      <c r="A109" s="182"/>
      <c r="B109" s="159"/>
      <c r="C109" s="171"/>
      <c r="D109" s="133" t="s">
        <v>26</v>
      </c>
      <c r="E109" s="134"/>
      <c r="F109" s="127"/>
      <c r="G109" s="137"/>
      <c r="H109" s="153"/>
      <c r="I109" s="163" t="b">
        <f t="shared" si="13"/>
        <v>0</v>
      </c>
      <c r="J109" s="56">
        <f t="shared" si="16"/>
        <v>30</v>
      </c>
      <c r="K109" s="56">
        <f t="shared" si="14"/>
        <v>0</v>
      </c>
      <c r="L109" s="56">
        <f t="shared" si="15"/>
        <v>0</v>
      </c>
    </row>
    <row r="110" spans="1:12" s="1" customFormat="1" ht="12.75" x14ac:dyDescent="0.2">
      <c r="A110" s="179"/>
      <c r="B110" s="158"/>
      <c r="C110" s="171">
        <v>45017</v>
      </c>
      <c r="D110" s="130" t="str">
        <f>IF(I110=TRUE,"Første a'conto efter fastprisperioden indtastes her"," ")</f>
        <v xml:space="preserve"> </v>
      </c>
      <c r="E110" s="136"/>
      <c r="F110" s="127">
        <v>45031</v>
      </c>
      <c r="G110" s="137">
        <f>ROUND($E$109+($E$113-$E$109)/3*2,1)</f>
        <v>0</v>
      </c>
      <c r="H110" s="153">
        <f>(B110*(G110-G$26)/G$26)/30*J110</f>
        <v>0</v>
      </c>
      <c r="I110" s="163" t="b">
        <f t="shared" si="13"/>
        <v>0</v>
      </c>
      <c r="J110" s="56">
        <f t="shared" si="16"/>
        <v>30</v>
      </c>
      <c r="K110" s="56">
        <f t="shared" si="14"/>
        <v>0</v>
      </c>
      <c r="L110" s="56">
        <f t="shared" si="15"/>
        <v>0</v>
      </c>
    </row>
    <row r="111" spans="1:12" s="1" customFormat="1" ht="12.75" x14ac:dyDescent="0.2">
      <c r="A111" s="179"/>
      <c r="B111" s="158"/>
      <c r="C111" s="171">
        <v>45047</v>
      </c>
      <c r="D111" s="130" t="str">
        <f>IF(I111=TRUE,"Første a'conto efter fastprisperioden indtastes her"," ")</f>
        <v xml:space="preserve"> </v>
      </c>
      <c r="E111" s="136"/>
      <c r="F111" s="127">
        <v>45061</v>
      </c>
      <c r="G111" s="137">
        <f>ROUND($E$109+($E$113-$E$109)/3*3,1)</f>
        <v>0</v>
      </c>
      <c r="H111" s="153">
        <f>(B111*(G111-G$26)/G$26)/30*J111</f>
        <v>0</v>
      </c>
      <c r="I111" s="163" t="b">
        <f t="shared" si="13"/>
        <v>0</v>
      </c>
      <c r="J111" s="56">
        <f t="shared" si="16"/>
        <v>30</v>
      </c>
      <c r="K111" s="56">
        <f t="shared" si="14"/>
        <v>0</v>
      </c>
      <c r="L111" s="56">
        <f t="shared" si="15"/>
        <v>0</v>
      </c>
    </row>
    <row r="112" spans="1:12" s="1" customFormat="1" ht="12.75" x14ac:dyDescent="0.2">
      <c r="A112" s="179"/>
      <c r="B112" s="158"/>
      <c r="C112" s="171">
        <v>45078</v>
      </c>
      <c r="D112" s="130" t="str">
        <f>IF(I112=TRUE,"Første a'conto efter fastprisperioden indtastes her"," ")</f>
        <v xml:space="preserve"> </v>
      </c>
      <c r="E112" s="136"/>
      <c r="F112" s="127">
        <v>45092</v>
      </c>
      <c r="G112" s="137">
        <f>ROUND($E$113+($E$117-$E$113)/3,1)</f>
        <v>0</v>
      </c>
      <c r="H112" s="153">
        <f>(B112*(G112-G$26)/G$26)/30*J112</f>
        <v>0</v>
      </c>
      <c r="I112" s="163" t="b">
        <f t="shared" si="13"/>
        <v>0</v>
      </c>
      <c r="J112" s="56">
        <f t="shared" si="16"/>
        <v>30</v>
      </c>
      <c r="K112" s="56">
        <f t="shared" si="14"/>
        <v>0</v>
      </c>
      <c r="L112" s="56">
        <f t="shared" si="15"/>
        <v>0</v>
      </c>
    </row>
    <row r="113" spans="1:12" s="1" customFormat="1" ht="12.75" x14ac:dyDescent="0.2">
      <c r="A113" s="180"/>
      <c r="B113" s="159"/>
      <c r="C113" s="171"/>
      <c r="D113" s="133" t="s">
        <v>33</v>
      </c>
      <c r="E113" s="134"/>
      <c r="F113" s="127"/>
      <c r="G113" s="137"/>
      <c r="H113" s="153"/>
      <c r="I113" s="163" t="b">
        <f t="shared" si="13"/>
        <v>0</v>
      </c>
      <c r="J113" s="56">
        <f t="shared" si="16"/>
        <v>30</v>
      </c>
      <c r="K113" s="56">
        <f t="shared" si="14"/>
        <v>0</v>
      </c>
      <c r="L113" s="56">
        <f t="shared" si="15"/>
        <v>0</v>
      </c>
    </row>
    <row r="114" spans="1:12" s="1" customFormat="1" ht="12.75" x14ac:dyDescent="0.2">
      <c r="A114" s="179"/>
      <c r="B114" s="158"/>
      <c r="C114" s="171">
        <v>45108</v>
      </c>
      <c r="D114" s="130" t="str">
        <f>IF(I114=TRUE,"Første a'conto efter fastprisperioden indtastes her"," ")</f>
        <v xml:space="preserve"> </v>
      </c>
      <c r="E114" s="136"/>
      <c r="F114" s="127">
        <v>45122</v>
      </c>
      <c r="G114" s="137">
        <f>ROUND($E$113+($E$117-$E$113)/3*2,1)</f>
        <v>0</v>
      </c>
      <c r="H114" s="153">
        <f>(B114*(G114-G$26)/G$26)/30*J114</f>
        <v>0</v>
      </c>
      <c r="I114" s="163" t="b">
        <f t="shared" si="13"/>
        <v>0</v>
      </c>
      <c r="J114" s="56">
        <f t="shared" si="16"/>
        <v>30</v>
      </c>
      <c r="K114" s="56">
        <f t="shared" si="14"/>
        <v>0</v>
      </c>
      <c r="L114" s="56">
        <f t="shared" si="15"/>
        <v>0</v>
      </c>
    </row>
    <row r="115" spans="1:12" s="1" customFormat="1" ht="12.75" x14ac:dyDescent="0.2">
      <c r="A115" s="179"/>
      <c r="B115" s="158"/>
      <c r="C115" s="171">
        <v>45139</v>
      </c>
      <c r="D115" s="130" t="str">
        <f>IF(I115=TRUE,"Første a'conto efter fastprisperioden indtastes her"," ")</f>
        <v xml:space="preserve"> </v>
      </c>
      <c r="E115" s="136"/>
      <c r="F115" s="127">
        <v>45153</v>
      </c>
      <c r="G115" s="137">
        <f>ROUND($E$113+($E$117-$E$113)/3*3,1)</f>
        <v>0</v>
      </c>
      <c r="H115" s="153">
        <f>(B115*(G115-G$26)/G$26)/30*J115</f>
        <v>0</v>
      </c>
      <c r="I115" s="163" t="b">
        <f t="shared" si="13"/>
        <v>0</v>
      </c>
      <c r="J115" s="56">
        <f t="shared" si="16"/>
        <v>30</v>
      </c>
      <c r="K115" s="56">
        <f t="shared" si="14"/>
        <v>0</v>
      </c>
      <c r="L115" s="56">
        <f t="shared" si="15"/>
        <v>0</v>
      </c>
    </row>
    <row r="116" spans="1:12" s="1" customFormat="1" ht="12.75" x14ac:dyDescent="0.2">
      <c r="A116" s="179"/>
      <c r="B116" s="158"/>
      <c r="C116" s="171">
        <v>45170</v>
      </c>
      <c r="D116" s="130" t="str">
        <f>IF(I116=TRUE,"Første a'conto efter fastprisperioden indtastes her"," ")</f>
        <v xml:space="preserve"> </v>
      </c>
      <c r="E116" s="136"/>
      <c r="F116" s="127">
        <v>45184</v>
      </c>
      <c r="G116" s="137">
        <f>ROUND($E$117+($E$121-$E$117)/3,1)</f>
        <v>0</v>
      </c>
      <c r="H116" s="153">
        <f>(B116*(G116-G$26)/G$26)/30*J116</f>
        <v>0</v>
      </c>
      <c r="I116" s="163" t="b">
        <f t="shared" si="13"/>
        <v>0</v>
      </c>
      <c r="J116" s="56">
        <f t="shared" si="16"/>
        <v>30</v>
      </c>
      <c r="K116" s="56">
        <f t="shared" si="14"/>
        <v>0</v>
      </c>
      <c r="L116" s="56">
        <f t="shared" si="15"/>
        <v>0</v>
      </c>
    </row>
    <row r="117" spans="1:12" s="1" customFormat="1" ht="12.75" x14ac:dyDescent="0.2">
      <c r="A117" s="180"/>
      <c r="B117" s="159"/>
      <c r="C117" s="171"/>
      <c r="D117" s="133" t="s">
        <v>34</v>
      </c>
      <c r="E117" s="134"/>
      <c r="F117" s="127"/>
      <c r="G117" s="137"/>
      <c r="H117" s="153"/>
      <c r="I117" s="163" t="b">
        <f t="shared" si="13"/>
        <v>0</v>
      </c>
      <c r="J117" s="56">
        <f t="shared" si="16"/>
        <v>30</v>
      </c>
      <c r="K117" s="56">
        <f t="shared" si="14"/>
        <v>0</v>
      </c>
      <c r="L117" s="56">
        <f t="shared" si="15"/>
        <v>0</v>
      </c>
    </row>
    <row r="118" spans="1:12" s="1" customFormat="1" ht="12.75" x14ac:dyDescent="0.2">
      <c r="A118" s="179"/>
      <c r="B118" s="158"/>
      <c r="C118" s="171">
        <v>45200</v>
      </c>
      <c r="D118" s="130" t="str">
        <f>IF(I118=TRUE,"Første a'conto efter fastprisperioden indtastes her"," ")</f>
        <v xml:space="preserve"> </v>
      </c>
      <c r="E118" s="136"/>
      <c r="F118" s="127">
        <v>45214</v>
      </c>
      <c r="G118" s="137">
        <f>ROUND($E$117+($E$121-$E$117)/3*2,1)</f>
        <v>0</v>
      </c>
      <c r="H118" s="153">
        <f>(B118*(G118-G$26)/G$26)/30*J118</f>
        <v>0</v>
      </c>
      <c r="I118" s="163" t="b">
        <f t="shared" si="13"/>
        <v>0</v>
      </c>
      <c r="J118" s="56">
        <f t="shared" si="16"/>
        <v>30</v>
      </c>
      <c r="K118" s="56">
        <f t="shared" si="14"/>
        <v>0</v>
      </c>
      <c r="L118" s="56">
        <f t="shared" si="15"/>
        <v>0</v>
      </c>
    </row>
    <row r="119" spans="1:12" s="1" customFormat="1" ht="12.75" x14ac:dyDescent="0.2">
      <c r="A119" s="179"/>
      <c r="B119" s="158"/>
      <c r="C119" s="171">
        <v>45231</v>
      </c>
      <c r="D119" s="130" t="str">
        <f>IF(I119=TRUE,"Første a'conto efter fastprisperioden indtastes her"," ")</f>
        <v xml:space="preserve"> </v>
      </c>
      <c r="E119" s="136"/>
      <c r="F119" s="127">
        <v>45245</v>
      </c>
      <c r="G119" s="137">
        <f>ROUND($E$117+($E$121-$E$117)/3*3,1)</f>
        <v>0</v>
      </c>
      <c r="H119" s="153">
        <f>(B119*(G119-G$26)/G$26)/30*J119</f>
        <v>0</v>
      </c>
      <c r="I119" s="163" t="b">
        <f t="shared" si="13"/>
        <v>0</v>
      </c>
      <c r="J119" s="56">
        <f t="shared" si="16"/>
        <v>30</v>
      </c>
      <c r="K119" s="56">
        <f t="shared" si="14"/>
        <v>0</v>
      </c>
      <c r="L119" s="56">
        <f t="shared" si="15"/>
        <v>0</v>
      </c>
    </row>
    <row r="120" spans="1:12" s="1" customFormat="1" ht="12.75" x14ac:dyDescent="0.2">
      <c r="A120" s="179"/>
      <c r="B120" s="158"/>
      <c r="C120" s="171">
        <v>45261</v>
      </c>
      <c r="D120" s="130" t="str">
        <f>IF(I120=TRUE,"Første a'conto efter fastprisperioden indtastes her"," ")</f>
        <v xml:space="preserve"> </v>
      </c>
      <c r="E120" s="136"/>
      <c r="F120" s="127">
        <v>45275</v>
      </c>
      <c r="G120" s="137">
        <f>ROUND($E$121+($E$125-$E$121)/3,1)</f>
        <v>0</v>
      </c>
      <c r="H120" s="153">
        <f>(B120*(G120-G$26)/G$26)/30*J120</f>
        <v>0</v>
      </c>
      <c r="I120" s="163" t="b">
        <f t="shared" si="13"/>
        <v>0</v>
      </c>
      <c r="J120" s="56">
        <f t="shared" si="16"/>
        <v>30</v>
      </c>
      <c r="K120" s="56">
        <f t="shared" si="14"/>
        <v>0</v>
      </c>
      <c r="L120" s="56">
        <f t="shared" si="15"/>
        <v>0</v>
      </c>
    </row>
    <row r="121" spans="1:12" s="1" customFormat="1" ht="12.75" x14ac:dyDescent="0.2">
      <c r="A121" s="180"/>
      <c r="B121" s="159"/>
      <c r="C121" s="171"/>
      <c r="D121" s="133" t="s">
        <v>35</v>
      </c>
      <c r="E121" s="134"/>
      <c r="F121" s="127"/>
      <c r="G121" s="137"/>
      <c r="H121" s="153"/>
      <c r="I121" s="163" t="b">
        <f t="shared" si="13"/>
        <v>0</v>
      </c>
      <c r="J121" s="56">
        <f t="shared" si="16"/>
        <v>30</v>
      </c>
      <c r="K121" s="56">
        <f t="shared" si="14"/>
        <v>0</v>
      </c>
      <c r="L121" s="56">
        <f t="shared" si="15"/>
        <v>0</v>
      </c>
    </row>
    <row r="122" spans="1:12" s="1" customFormat="1" ht="12.75" x14ac:dyDescent="0.2">
      <c r="A122" s="179"/>
      <c r="B122" s="158"/>
      <c r="C122" s="171">
        <v>45292</v>
      </c>
      <c r="D122" s="130" t="str">
        <f>IF(I122=TRUE,"Første a'conto efter fastprisperioden indtastes her"," ")</f>
        <v xml:space="preserve"> </v>
      </c>
      <c r="E122" s="136"/>
      <c r="F122" s="127">
        <v>45306</v>
      </c>
      <c r="G122" s="137">
        <f>ROUND($E$121+($E$125-$E$121)/3*2,1)</f>
        <v>0</v>
      </c>
      <c r="H122" s="153">
        <f>(B122*(G122-G$26)/G$26)/30*J122</f>
        <v>0</v>
      </c>
      <c r="I122" s="163" t="b">
        <f t="shared" si="13"/>
        <v>0</v>
      </c>
      <c r="J122" s="56">
        <f t="shared" si="16"/>
        <v>30</v>
      </c>
      <c r="K122" s="56">
        <f t="shared" si="14"/>
        <v>0</v>
      </c>
      <c r="L122" s="56">
        <f t="shared" si="15"/>
        <v>0</v>
      </c>
    </row>
    <row r="123" spans="1:12" s="1" customFormat="1" ht="12.75" x14ac:dyDescent="0.2">
      <c r="A123" s="179"/>
      <c r="B123" s="158"/>
      <c r="C123" s="171">
        <v>45323</v>
      </c>
      <c r="D123" s="130" t="str">
        <f>IF(I123=TRUE,"Første a'conto efter fastprisperioden indtastes her"," ")</f>
        <v xml:space="preserve"> </v>
      </c>
      <c r="E123" s="136"/>
      <c r="F123" s="127">
        <v>45337</v>
      </c>
      <c r="G123" s="137">
        <f>ROUND($E$121+($E$125-$E$121)/3*3,1)</f>
        <v>0</v>
      </c>
      <c r="H123" s="153">
        <f>(B123*(G123-G$26)/G$26)/30*J123</f>
        <v>0</v>
      </c>
      <c r="I123" s="163" t="b">
        <f t="shared" si="13"/>
        <v>0</v>
      </c>
      <c r="J123" s="56">
        <f t="shared" si="16"/>
        <v>30</v>
      </c>
      <c r="K123" s="56">
        <f t="shared" si="14"/>
        <v>0</v>
      </c>
      <c r="L123" s="56">
        <f t="shared" si="15"/>
        <v>0</v>
      </c>
    </row>
    <row r="124" spans="1:12" s="1" customFormat="1" ht="12.75" x14ac:dyDescent="0.2">
      <c r="A124" s="179"/>
      <c r="B124" s="158"/>
      <c r="C124" s="171">
        <v>45352</v>
      </c>
      <c r="D124" s="130" t="str">
        <f>IF(I124=TRUE,"Første a'conto efter fastprisperioden indtastes her"," ")</f>
        <v xml:space="preserve"> </v>
      </c>
      <c r="E124" s="136"/>
      <c r="F124" s="127">
        <v>45366</v>
      </c>
      <c r="G124" s="137">
        <f>ROUND($E$125+($E$129-$E$125)/3,1)</f>
        <v>0</v>
      </c>
      <c r="H124" s="153">
        <f>(B124*(G124-G$26)/G$26)/30*J124</f>
        <v>0</v>
      </c>
      <c r="I124" s="163" t="b">
        <f t="shared" si="13"/>
        <v>0</v>
      </c>
      <c r="J124" s="56">
        <f t="shared" si="16"/>
        <v>30</v>
      </c>
      <c r="K124" s="56">
        <f t="shared" si="14"/>
        <v>0</v>
      </c>
      <c r="L124" s="56">
        <f t="shared" si="15"/>
        <v>0</v>
      </c>
    </row>
    <row r="125" spans="1:12" s="1" customFormat="1" ht="12.75" x14ac:dyDescent="0.2">
      <c r="A125" s="180"/>
      <c r="B125" s="159"/>
      <c r="C125" s="171"/>
      <c r="D125" s="133" t="s">
        <v>36</v>
      </c>
      <c r="E125" s="134"/>
      <c r="F125" s="127"/>
      <c r="G125" s="137"/>
      <c r="H125" s="153"/>
      <c r="I125" s="163" t="b">
        <f t="shared" si="13"/>
        <v>0</v>
      </c>
      <c r="J125" s="56">
        <f t="shared" si="16"/>
        <v>30</v>
      </c>
      <c r="K125" s="56">
        <f t="shared" si="14"/>
        <v>0</v>
      </c>
      <c r="L125" s="56">
        <f t="shared" si="15"/>
        <v>0</v>
      </c>
    </row>
    <row r="126" spans="1:12" s="1" customFormat="1" ht="12.75" x14ac:dyDescent="0.2">
      <c r="A126" s="179"/>
      <c r="B126" s="158"/>
      <c r="C126" s="171">
        <v>45383</v>
      </c>
      <c r="D126" s="130" t="str">
        <f>IF(I126=TRUE,"Første a'conto efter fastprisperioden indtastes her"," ")</f>
        <v xml:space="preserve"> </v>
      </c>
      <c r="E126" s="136"/>
      <c r="F126" s="127">
        <v>45397</v>
      </c>
      <c r="G126" s="137">
        <f>ROUND($E$125+($E$129-$E$125)/3*2,1)</f>
        <v>0</v>
      </c>
      <c r="H126" s="153">
        <f>(B126*(G126-G$26)/G$26)/30*J126</f>
        <v>0</v>
      </c>
      <c r="I126" s="163" t="b">
        <f t="shared" si="13"/>
        <v>0</v>
      </c>
      <c r="J126" s="56">
        <f t="shared" si="16"/>
        <v>30</v>
      </c>
      <c r="K126" s="56">
        <f t="shared" si="14"/>
        <v>0</v>
      </c>
      <c r="L126" s="56">
        <f t="shared" si="15"/>
        <v>0</v>
      </c>
    </row>
    <row r="127" spans="1:12" s="1" customFormat="1" ht="12.75" x14ac:dyDescent="0.2">
      <c r="A127" s="179"/>
      <c r="B127" s="158"/>
      <c r="C127" s="171">
        <v>45413</v>
      </c>
      <c r="D127" s="130" t="str">
        <f>IF(I127=TRUE,"Første a'conto efter fastprisperioden indtastes her"," ")</f>
        <v xml:space="preserve"> </v>
      </c>
      <c r="E127" s="136"/>
      <c r="F127" s="127">
        <v>45427</v>
      </c>
      <c r="G127" s="137">
        <f>ROUND($E$125+($E$129-$E$125)/3*3,1)</f>
        <v>0</v>
      </c>
      <c r="H127" s="153">
        <f>(B127*(G127-G$26)/G$26)/30*J127</f>
        <v>0</v>
      </c>
      <c r="I127" s="163" t="b">
        <f t="shared" si="13"/>
        <v>0</v>
      </c>
      <c r="J127" s="56">
        <f t="shared" si="16"/>
        <v>30</v>
      </c>
      <c r="K127" s="56">
        <f t="shared" si="14"/>
        <v>0</v>
      </c>
      <c r="L127" s="56">
        <f t="shared" si="15"/>
        <v>0</v>
      </c>
    </row>
    <row r="128" spans="1:12" s="1" customFormat="1" ht="12.75" x14ac:dyDescent="0.2">
      <c r="A128" s="179"/>
      <c r="B128" s="158"/>
      <c r="C128" s="171">
        <v>45444</v>
      </c>
      <c r="D128" s="130" t="str">
        <f>IF(I128=TRUE,"Første a'conto efter fastprisperioden indtastes her"," ")</f>
        <v xml:space="preserve"> </v>
      </c>
      <c r="E128" s="136"/>
      <c r="F128" s="127">
        <v>45458</v>
      </c>
      <c r="G128" s="137">
        <f>ROUND($E$129+($E$133-$E$129)/3,1)</f>
        <v>0</v>
      </c>
      <c r="H128" s="153">
        <f>(B128*(G128-G$26)/G$26)/30*J128</f>
        <v>0</v>
      </c>
      <c r="I128" s="163" t="b">
        <f t="shared" si="13"/>
        <v>0</v>
      </c>
      <c r="J128" s="56">
        <f t="shared" si="16"/>
        <v>30</v>
      </c>
      <c r="K128" s="56">
        <f t="shared" si="14"/>
        <v>0</v>
      </c>
      <c r="L128" s="56">
        <f t="shared" si="15"/>
        <v>0</v>
      </c>
    </row>
    <row r="129" spans="1:12" s="1" customFormat="1" ht="12.75" x14ac:dyDescent="0.2">
      <c r="A129" s="180"/>
      <c r="B129" s="159"/>
      <c r="C129" s="171"/>
      <c r="D129" s="133" t="s">
        <v>40</v>
      </c>
      <c r="E129" s="134"/>
      <c r="F129" s="127"/>
      <c r="G129" s="137"/>
      <c r="H129" s="153"/>
      <c r="I129" s="163" t="b">
        <f t="shared" si="13"/>
        <v>0</v>
      </c>
      <c r="J129" s="56">
        <f t="shared" si="16"/>
        <v>30</v>
      </c>
      <c r="K129" s="56">
        <f t="shared" si="14"/>
        <v>0</v>
      </c>
      <c r="L129" s="56">
        <f t="shared" si="15"/>
        <v>0</v>
      </c>
    </row>
    <row r="130" spans="1:12" s="1" customFormat="1" ht="12.75" x14ac:dyDescent="0.2">
      <c r="A130" s="179"/>
      <c r="B130" s="158"/>
      <c r="C130" s="171">
        <v>45474</v>
      </c>
      <c r="D130" s="130" t="str">
        <f>IF(I130=TRUE,"Første a'conto efter fastprisperioden indtastes her"," ")</f>
        <v xml:space="preserve"> </v>
      </c>
      <c r="E130" s="136"/>
      <c r="F130" s="127">
        <v>45488</v>
      </c>
      <c r="G130" s="137">
        <f>ROUND($E$129+($E$133-$E$129)/3*2,1)</f>
        <v>0</v>
      </c>
      <c r="H130" s="153">
        <f>(B130*(G130-G$26)/G$26)/30*J130</f>
        <v>0</v>
      </c>
      <c r="I130" s="163" t="b">
        <f t="shared" si="13"/>
        <v>0</v>
      </c>
      <c r="J130" s="56">
        <f t="shared" si="16"/>
        <v>30</v>
      </c>
      <c r="K130" s="56">
        <f t="shared" si="14"/>
        <v>0</v>
      </c>
      <c r="L130" s="56">
        <f t="shared" si="15"/>
        <v>0</v>
      </c>
    </row>
    <row r="131" spans="1:12" s="1" customFormat="1" ht="12.75" x14ac:dyDescent="0.2">
      <c r="A131" s="179"/>
      <c r="B131" s="158"/>
      <c r="C131" s="171">
        <v>45505</v>
      </c>
      <c r="D131" s="130" t="str">
        <f>IF(I131=TRUE,"Første a'conto efter fastprisperioden indtastes her"," ")</f>
        <v xml:space="preserve"> </v>
      </c>
      <c r="E131" s="136"/>
      <c r="F131" s="127">
        <v>45519</v>
      </c>
      <c r="G131" s="137">
        <f>ROUND($E$129+($E$133-$E$129)/3*3,1)</f>
        <v>0</v>
      </c>
      <c r="H131" s="153">
        <f>(B131*(G131-G$26)/G$26)/30*J131</f>
        <v>0</v>
      </c>
      <c r="I131" s="163" t="b">
        <f t="shared" si="13"/>
        <v>0</v>
      </c>
      <c r="J131" s="56">
        <f t="shared" si="16"/>
        <v>30</v>
      </c>
      <c r="K131" s="56">
        <f t="shared" si="14"/>
        <v>0</v>
      </c>
      <c r="L131" s="56">
        <f t="shared" si="15"/>
        <v>0</v>
      </c>
    </row>
    <row r="132" spans="1:12" s="1" customFormat="1" ht="12.75" x14ac:dyDescent="0.2">
      <c r="A132" s="179"/>
      <c r="B132" s="158"/>
      <c r="C132" s="171">
        <v>45536</v>
      </c>
      <c r="D132" s="130" t="str">
        <f>IF(I132=TRUE,"Første a'conto efter fastprisperioden indtastes her"," ")</f>
        <v xml:space="preserve"> </v>
      </c>
      <c r="E132" s="136"/>
      <c r="F132" s="127">
        <v>45550</v>
      </c>
      <c r="G132" s="137">
        <f>ROUND($E$133+($E$137-$E$133)/3,1)</f>
        <v>0</v>
      </c>
      <c r="H132" s="153">
        <f>(B132*(G132-G$26)/G$26)/30*J132</f>
        <v>0</v>
      </c>
      <c r="I132" s="163" t="b">
        <f t="shared" si="13"/>
        <v>0</v>
      </c>
      <c r="J132" s="56">
        <f t="shared" si="16"/>
        <v>30</v>
      </c>
      <c r="K132" s="56">
        <f t="shared" si="14"/>
        <v>0</v>
      </c>
      <c r="L132" s="56">
        <f t="shared" si="15"/>
        <v>0</v>
      </c>
    </row>
    <row r="133" spans="1:12" s="1" customFormat="1" ht="12.75" x14ac:dyDescent="0.2">
      <c r="A133" s="180"/>
      <c r="B133" s="159"/>
      <c r="C133" s="171"/>
      <c r="D133" s="133" t="s">
        <v>41</v>
      </c>
      <c r="E133" s="134"/>
      <c r="F133" s="127"/>
      <c r="G133" s="137"/>
      <c r="H133" s="153"/>
      <c r="I133" s="163" t="b">
        <f t="shared" si="13"/>
        <v>0</v>
      </c>
      <c r="J133" s="56">
        <f t="shared" si="16"/>
        <v>30</v>
      </c>
      <c r="K133" s="56">
        <f t="shared" si="14"/>
        <v>0</v>
      </c>
      <c r="L133" s="56">
        <f t="shared" si="15"/>
        <v>0</v>
      </c>
    </row>
    <row r="134" spans="1:12" s="1" customFormat="1" ht="12.75" x14ac:dyDescent="0.2">
      <c r="A134" s="179"/>
      <c r="B134" s="158"/>
      <c r="C134" s="171">
        <v>45566</v>
      </c>
      <c r="D134" s="130" t="str">
        <f>IF(I134=TRUE,"Første a'conto efter fastprisperioden indtastes her"," ")</f>
        <v xml:space="preserve"> </v>
      </c>
      <c r="E134" s="136"/>
      <c r="F134" s="127">
        <v>45580</v>
      </c>
      <c r="G134" s="137">
        <f>ROUND($E$133+($E$137-$E$133)/3*2,1)</f>
        <v>0</v>
      </c>
      <c r="H134" s="153">
        <f>(B134*(G134-G$26)/G$26)/30*J134</f>
        <v>0</v>
      </c>
      <c r="I134" s="163" t="b">
        <f t="shared" ref="I134:I156" si="17">IF(C134=$M$1,TRUE,FALSE)</f>
        <v>0</v>
      </c>
      <c r="J134" s="56">
        <f t="shared" si="16"/>
        <v>30</v>
      </c>
      <c r="K134" s="56">
        <f t="shared" ref="K134:K157" si="18">IF(D134=$D$18,E134,0)</f>
        <v>0</v>
      </c>
      <c r="L134" s="56">
        <f t="shared" ref="L134:L157" si="19">IF(D134=$D$19,E134,0)</f>
        <v>0</v>
      </c>
    </row>
    <row r="135" spans="1:12" s="1" customFormat="1" ht="12.75" x14ac:dyDescent="0.2">
      <c r="A135" s="179"/>
      <c r="B135" s="158"/>
      <c r="C135" s="171">
        <v>45597</v>
      </c>
      <c r="D135" s="130" t="str">
        <f>IF(I135=TRUE,"Første a'conto efter fastprisperioden indtastes her"," ")</f>
        <v xml:space="preserve"> </v>
      </c>
      <c r="E135" s="136"/>
      <c r="F135" s="127">
        <v>45611</v>
      </c>
      <c r="G135" s="137">
        <f>ROUND($E$133+($E$137-$E$133)/3*3,1)</f>
        <v>0</v>
      </c>
      <c r="H135" s="153">
        <f>(B135*(G135-G$26)/G$26)/30*J135</f>
        <v>0</v>
      </c>
      <c r="I135" s="163" t="b">
        <f t="shared" si="17"/>
        <v>0</v>
      </c>
      <c r="J135" s="56">
        <f t="shared" si="16"/>
        <v>30</v>
      </c>
      <c r="K135" s="56">
        <f t="shared" si="18"/>
        <v>0</v>
      </c>
      <c r="L135" s="56">
        <f t="shared" si="19"/>
        <v>0</v>
      </c>
    </row>
    <row r="136" spans="1:12" s="1" customFormat="1" ht="12.75" x14ac:dyDescent="0.2">
      <c r="A136" s="179"/>
      <c r="B136" s="158"/>
      <c r="C136" s="171">
        <v>45627</v>
      </c>
      <c r="D136" s="130" t="str">
        <f>IF(I136=TRUE,"Første a'conto efter fastprisperioden indtastes her"," ")</f>
        <v xml:space="preserve"> </v>
      </c>
      <c r="E136" s="136"/>
      <c r="F136" s="127">
        <v>45641</v>
      </c>
      <c r="G136" s="137">
        <f>ROUND($E$137+($E$141-$E$137)/3,1)</f>
        <v>0</v>
      </c>
      <c r="H136" s="153">
        <f>(B136*(G136-G$26)/G$26)/30*J136</f>
        <v>0</v>
      </c>
      <c r="I136" s="163" t="b">
        <f t="shared" si="17"/>
        <v>0</v>
      </c>
      <c r="J136" s="56">
        <f t="shared" si="16"/>
        <v>30</v>
      </c>
      <c r="K136" s="56">
        <f t="shared" si="18"/>
        <v>0</v>
      </c>
      <c r="L136" s="56">
        <f t="shared" si="19"/>
        <v>0</v>
      </c>
    </row>
    <row r="137" spans="1:12" s="1" customFormat="1" ht="12.75" x14ac:dyDescent="0.2">
      <c r="A137" s="180"/>
      <c r="B137" s="159"/>
      <c r="C137" s="171"/>
      <c r="D137" s="133" t="s">
        <v>42</v>
      </c>
      <c r="E137" s="134"/>
      <c r="F137" s="127"/>
      <c r="G137" s="137"/>
      <c r="H137" s="153"/>
      <c r="I137" s="163" t="b">
        <f t="shared" si="17"/>
        <v>0</v>
      </c>
      <c r="J137" s="56">
        <f t="shared" si="16"/>
        <v>30</v>
      </c>
      <c r="K137" s="56">
        <f t="shared" si="18"/>
        <v>0</v>
      </c>
      <c r="L137" s="56">
        <f t="shared" si="19"/>
        <v>0</v>
      </c>
    </row>
    <row r="138" spans="1:12" s="1" customFormat="1" ht="12.75" x14ac:dyDescent="0.2">
      <c r="A138" s="179"/>
      <c r="B138" s="158"/>
      <c r="C138" s="171">
        <v>45658</v>
      </c>
      <c r="D138" s="130" t="str">
        <f>IF(I138=TRUE,"Første a'conto efter fastprisperioden indtastes her"," ")</f>
        <v xml:space="preserve"> </v>
      </c>
      <c r="E138" s="136"/>
      <c r="F138" s="127">
        <v>45672</v>
      </c>
      <c r="G138" s="137">
        <f>ROUND($E$137+($E$141-$E$137)/3*2,1)</f>
        <v>0</v>
      </c>
      <c r="H138" s="153">
        <f>(B138*(G138-G$26)/G$26)/30*J138</f>
        <v>0</v>
      </c>
      <c r="I138" s="163" t="b">
        <f t="shared" si="17"/>
        <v>0</v>
      </c>
      <c r="J138" s="56">
        <f t="shared" si="16"/>
        <v>30</v>
      </c>
      <c r="K138" s="56">
        <f t="shared" si="18"/>
        <v>0</v>
      </c>
      <c r="L138" s="56">
        <f t="shared" si="19"/>
        <v>0</v>
      </c>
    </row>
    <row r="139" spans="1:12" s="1" customFormat="1" ht="12.75" x14ac:dyDescent="0.2">
      <c r="A139" s="179"/>
      <c r="B139" s="158"/>
      <c r="C139" s="171">
        <v>45689</v>
      </c>
      <c r="D139" s="130" t="str">
        <f>IF(I139=TRUE,"Første a'conto efter fastprisperioden indtastes her"," ")</f>
        <v xml:space="preserve"> </v>
      </c>
      <c r="E139" s="136"/>
      <c r="F139" s="127">
        <v>45703</v>
      </c>
      <c r="G139" s="137">
        <f>ROUND($E$137+($E$141-$E$137)/3*3,1)</f>
        <v>0</v>
      </c>
      <c r="H139" s="153">
        <f>(B139*(G139-G$26)/G$26)/30*J139</f>
        <v>0</v>
      </c>
      <c r="I139" s="163" t="b">
        <f t="shared" si="17"/>
        <v>0</v>
      </c>
      <c r="J139" s="56">
        <f t="shared" si="16"/>
        <v>30</v>
      </c>
      <c r="K139" s="56">
        <f t="shared" si="18"/>
        <v>0</v>
      </c>
      <c r="L139" s="56">
        <f t="shared" si="19"/>
        <v>0</v>
      </c>
    </row>
    <row r="140" spans="1:12" s="1" customFormat="1" ht="12.75" x14ac:dyDescent="0.2">
      <c r="A140" s="179"/>
      <c r="B140" s="158"/>
      <c r="C140" s="171">
        <v>45717</v>
      </c>
      <c r="D140" s="130" t="str">
        <f>IF(I140=TRUE,"Første a'conto efter fastprisperioden indtastes her"," ")</f>
        <v xml:space="preserve"> </v>
      </c>
      <c r="E140" s="136"/>
      <c r="F140" s="127">
        <v>45731</v>
      </c>
      <c r="G140" s="137">
        <f>ROUND($E$141+($E$145-$E$141)/3,1)</f>
        <v>0</v>
      </c>
      <c r="H140" s="153">
        <f>(B140*(G140-G$26)/G$26)/30*J140</f>
        <v>0</v>
      </c>
      <c r="I140" s="163" t="b">
        <f t="shared" si="17"/>
        <v>0</v>
      </c>
      <c r="J140" s="56">
        <f t="shared" si="16"/>
        <v>30</v>
      </c>
      <c r="K140" s="56">
        <f t="shared" si="18"/>
        <v>0</v>
      </c>
      <c r="L140" s="56">
        <f t="shared" si="19"/>
        <v>0</v>
      </c>
    </row>
    <row r="141" spans="1:12" s="1" customFormat="1" ht="12.75" x14ac:dyDescent="0.2">
      <c r="A141" s="180"/>
      <c r="B141" s="159"/>
      <c r="C141" s="171"/>
      <c r="D141" s="133" t="s">
        <v>43</v>
      </c>
      <c r="E141" s="134"/>
      <c r="F141" s="127"/>
      <c r="G141" s="137"/>
      <c r="H141" s="153"/>
      <c r="I141" s="163" t="b">
        <f t="shared" si="17"/>
        <v>0</v>
      </c>
      <c r="J141" s="56">
        <f t="shared" si="16"/>
        <v>30</v>
      </c>
      <c r="K141" s="56">
        <f t="shared" si="18"/>
        <v>0</v>
      </c>
      <c r="L141" s="56">
        <f t="shared" si="19"/>
        <v>0</v>
      </c>
    </row>
    <row r="142" spans="1:12" s="1" customFormat="1" ht="12.75" x14ac:dyDescent="0.2">
      <c r="A142" s="179"/>
      <c r="B142" s="158"/>
      <c r="C142" s="171">
        <v>45748</v>
      </c>
      <c r="D142" s="130" t="str">
        <f>IF(I142=TRUE,"Første a'conto efter fastprisperioden indtastes her"," ")</f>
        <v xml:space="preserve"> </v>
      </c>
      <c r="E142" s="136"/>
      <c r="F142" s="127">
        <v>45762</v>
      </c>
      <c r="G142" s="137">
        <f>ROUND($E$141+($E$145-$E$141)/3*2,1)</f>
        <v>0</v>
      </c>
      <c r="H142" s="153">
        <f>(B142*(G142-G$26)/G$26)/30*J142</f>
        <v>0</v>
      </c>
      <c r="I142" s="163" t="b">
        <f t="shared" si="17"/>
        <v>0</v>
      </c>
      <c r="J142" s="56">
        <f t="shared" si="16"/>
        <v>30</v>
      </c>
      <c r="K142" s="56">
        <f t="shared" si="18"/>
        <v>0</v>
      </c>
      <c r="L142" s="56">
        <f t="shared" si="19"/>
        <v>0</v>
      </c>
    </row>
    <row r="143" spans="1:12" s="1" customFormat="1" ht="12.75" x14ac:dyDescent="0.2">
      <c r="A143" s="179"/>
      <c r="B143" s="158"/>
      <c r="C143" s="171">
        <v>45778</v>
      </c>
      <c r="D143" s="130" t="str">
        <f>IF(I143=TRUE,"Første a'conto efter fastprisperioden indtastes her"," ")</f>
        <v xml:space="preserve"> </v>
      </c>
      <c r="E143" s="136"/>
      <c r="F143" s="127">
        <v>45792</v>
      </c>
      <c r="G143" s="137">
        <f>ROUND($E$141+($E$145-$E$141)/3*3,1)</f>
        <v>0</v>
      </c>
      <c r="H143" s="153">
        <f>(B143*(G143-G$26)/G$26)/30*J143</f>
        <v>0</v>
      </c>
      <c r="I143" s="163" t="b">
        <f t="shared" si="17"/>
        <v>0</v>
      </c>
      <c r="J143" s="56">
        <f t="shared" si="16"/>
        <v>30</v>
      </c>
      <c r="K143" s="56">
        <f t="shared" si="18"/>
        <v>0</v>
      </c>
      <c r="L143" s="56">
        <f t="shared" si="19"/>
        <v>0</v>
      </c>
    </row>
    <row r="144" spans="1:12" s="1" customFormat="1" ht="12.75" x14ac:dyDescent="0.2">
      <c r="A144" s="179"/>
      <c r="B144" s="158"/>
      <c r="C144" s="171">
        <v>45809</v>
      </c>
      <c r="D144" s="130" t="str">
        <f>IF(I144=TRUE,"Første a'conto efter fastprisperioden indtastes her"," ")</f>
        <v xml:space="preserve"> </v>
      </c>
      <c r="E144" s="136"/>
      <c r="F144" s="127">
        <v>45823</v>
      </c>
      <c r="G144" s="137">
        <f>ROUND($E$145+($E$149-$E$145)/3,1)</f>
        <v>0</v>
      </c>
      <c r="H144" s="153">
        <f>(B144*(G144-G$26)/G$26)/30*J144</f>
        <v>0</v>
      </c>
      <c r="I144" s="163" t="b">
        <f t="shared" si="17"/>
        <v>0</v>
      </c>
      <c r="J144" s="56">
        <f t="shared" si="16"/>
        <v>30</v>
      </c>
      <c r="K144" s="56">
        <f t="shared" si="18"/>
        <v>0</v>
      </c>
      <c r="L144" s="56">
        <f t="shared" si="19"/>
        <v>0</v>
      </c>
    </row>
    <row r="145" spans="1:12" s="1" customFormat="1" ht="12.75" x14ac:dyDescent="0.2">
      <c r="A145" s="180"/>
      <c r="B145" s="159"/>
      <c r="C145" s="171"/>
      <c r="D145" s="133" t="s">
        <v>44</v>
      </c>
      <c r="E145" s="134"/>
      <c r="F145" s="127"/>
      <c r="G145" s="137"/>
      <c r="H145" s="153"/>
      <c r="I145" s="163" t="b">
        <f t="shared" si="17"/>
        <v>0</v>
      </c>
      <c r="J145" s="56">
        <f t="shared" si="16"/>
        <v>30</v>
      </c>
      <c r="K145" s="56">
        <f t="shared" si="18"/>
        <v>0</v>
      </c>
      <c r="L145" s="56">
        <f t="shared" si="19"/>
        <v>0</v>
      </c>
    </row>
    <row r="146" spans="1:12" s="1" customFormat="1" ht="12.75" x14ac:dyDescent="0.2">
      <c r="A146" s="179"/>
      <c r="B146" s="158"/>
      <c r="C146" s="171">
        <v>45839</v>
      </c>
      <c r="D146" s="130" t="str">
        <f>IF(I146=TRUE,"Første a'conto efter fastprisperioden indtastes her"," ")</f>
        <v xml:space="preserve"> </v>
      </c>
      <c r="E146" s="136"/>
      <c r="F146" s="127">
        <v>45853</v>
      </c>
      <c r="G146" s="137">
        <f>ROUND($E$145+($E$149-$E$145)/3*2,1)</f>
        <v>0</v>
      </c>
      <c r="H146" s="153">
        <f>(B146*(G146-G$26)/G$26)/30*J146</f>
        <v>0</v>
      </c>
      <c r="I146" s="163" t="b">
        <f t="shared" si="17"/>
        <v>0</v>
      </c>
      <c r="J146" s="56">
        <f t="shared" si="16"/>
        <v>30</v>
      </c>
      <c r="K146" s="56">
        <f t="shared" si="18"/>
        <v>0</v>
      </c>
      <c r="L146" s="56">
        <f t="shared" si="19"/>
        <v>0</v>
      </c>
    </row>
    <row r="147" spans="1:12" s="1" customFormat="1" ht="12.75" x14ac:dyDescent="0.2">
      <c r="A147" s="179"/>
      <c r="B147" s="158"/>
      <c r="C147" s="171">
        <v>45870</v>
      </c>
      <c r="D147" s="130" t="str">
        <f>IF(I147=TRUE,"Første a'conto efter fastprisperioden indtastes her"," ")</f>
        <v xml:space="preserve"> </v>
      </c>
      <c r="E147" s="136"/>
      <c r="F147" s="127">
        <v>45884</v>
      </c>
      <c r="G147" s="137">
        <f>ROUND($E$145+($E$149-$E$145)/3*3,1)</f>
        <v>0</v>
      </c>
      <c r="H147" s="153">
        <f>(B147*(G147-G$26)/G$26)/30*J147</f>
        <v>0</v>
      </c>
      <c r="I147" s="163" t="b">
        <f t="shared" si="17"/>
        <v>0</v>
      </c>
      <c r="J147" s="56">
        <f t="shared" si="16"/>
        <v>30</v>
      </c>
      <c r="K147" s="56">
        <f t="shared" si="18"/>
        <v>0</v>
      </c>
      <c r="L147" s="56">
        <f t="shared" si="19"/>
        <v>0</v>
      </c>
    </row>
    <row r="148" spans="1:12" s="1" customFormat="1" ht="12.75" x14ac:dyDescent="0.2">
      <c r="A148" s="179"/>
      <c r="B148" s="158"/>
      <c r="C148" s="171">
        <v>45901</v>
      </c>
      <c r="D148" s="130" t="str">
        <f>IF(I148=TRUE,"Første a'conto efter fastprisperioden indtastes her"," ")</f>
        <v xml:space="preserve"> </v>
      </c>
      <c r="E148" s="136"/>
      <c r="F148" s="127">
        <v>45915</v>
      </c>
      <c r="G148" s="137">
        <f>ROUND($E$149+($E$153-$E$149)/3,1)</f>
        <v>0</v>
      </c>
      <c r="H148" s="153">
        <f>(B148*(G148-G$26)/G$26)/30*J148</f>
        <v>0</v>
      </c>
      <c r="I148" s="163" t="b">
        <f t="shared" si="17"/>
        <v>0</v>
      </c>
      <c r="J148" s="56">
        <f t="shared" si="16"/>
        <v>30</v>
      </c>
      <c r="K148" s="56">
        <f t="shared" si="18"/>
        <v>0</v>
      </c>
      <c r="L148" s="56">
        <f t="shared" si="19"/>
        <v>0</v>
      </c>
    </row>
    <row r="149" spans="1:12" s="1" customFormat="1" ht="12.75" x14ac:dyDescent="0.2">
      <c r="A149" s="180"/>
      <c r="B149" s="159"/>
      <c r="C149" s="171"/>
      <c r="D149" s="133" t="s">
        <v>45</v>
      </c>
      <c r="E149" s="134"/>
      <c r="F149" s="127"/>
      <c r="G149" s="132"/>
      <c r="H149" s="153"/>
      <c r="I149" s="163" t="b">
        <f t="shared" si="17"/>
        <v>0</v>
      </c>
      <c r="J149" s="56">
        <f t="shared" si="16"/>
        <v>30</v>
      </c>
      <c r="K149" s="56">
        <f t="shared" si="18"/>
        <v>0</v>
      </c>
      <c r="L149" s="56">
        <f t="shared" si="19"/>
        <v>0</v>
      </c>
    </row>
    <row r="150" spans="1:12" s="1" customFormat="1" ht="12.75" x14ac:dyDescent="0.2">
      <c r="A150" s="179"/>
      <c r="B150" s="158"/>
      <c r="C150" s="171">
        <v>45931</v>
      </c>
      <c r="D150" s="130" t="str">
        <f>IF(I150=TRUE,"Første a'conto efter fastprisperioden indtastes her"," ")</f>
        <v xml:space="preserve"> </v>
      </c>
      <c r="E150" s="136"/>
      <c r="F150" s="127">
        <v>45945</v>
      </c>
      <c r="G150" s="137">
        <f>ROUND($E$149+($E$153-$E$149)/3*2,1)</f>
        <v>0</v>
      </c>
      <c r="H150" s="153">
        <f>(B150*(G150-G$26)/G$26)/30*J150</f>
        <v>0</v>
      </c>
      <c r="I150" s="163" t="b">
        <f t="shared" si="17"/>
        <v>0</v>
      </c>
      <c r="J150" s="56">
        <f t="shared" si="16"/>
        <v>30</v>
      </c>
      <c r="K150" s="56">
        <f t="shared" si="18"/>
        <v>0</v>
      </c>
      <c r="L150" s="56">
        <f t="shared" si="19"/>
        <v>0</v>
      </c>
    </row>
    <row r="151" spans="1:12" s="1" customFormat="1" ht="12.75" x14ac:dyDescent="0.2">
      <c r="A151" s="179"/>
      <c r="B151" s="158"/>
      <c r="C151" s="171">
        <v>45962</v>
      </c>
      <c r="D151" s="130" t="str">
        <f>IF(I151=TRUE,"Første a'conto efter fastprisperioden indtastes her"," ")</f>
        <v xml:space="preserve"> </v>
      </c>
      <c r="E151" s="136"/>
      <c r="F151" s="127">
        <v>45976</v>
      </c>
      <c r="G151" s="137">
        <f>ROUND($E$149+($E$153-$E$149)/3*3,1)</f>
        <v>0</v>
      </c>
      <c r="H151" s="153">
        <f>(B151*(G151-G$26)/G$26)/30*J151</f>
        <v>0</v>
      </c>
      <c r="I151" s="163" t="b">
        <f t="shared" si="17"/>
        <v>0</v>
      </c>
      <c r="J151" s="56">
        <f t="shared" si="16"/>
        <v>30</v>
      </c>
      <c r="K151" s="56">
        <f t="shared" si="18"/>
        <v>0</v>
      </c>
      <c r="L151" s="56">
        <f t="shared" si="19"/>
        <v>0</v>
      </c>
    </row>
    <row r="152" spans="1:12" s="1" customFormat="1" ht="12.75" x14ac:dyDescent="0.2">
      <c r="A152" s="179"/>
      <c r="B152" s="158"/>
      <c r="C152" s="171">
        <v>45992</v>
      </c>
      <c r="D152" s="130" t="str">
        <f>IF(I152=TRUE,"Første a'conto efter fastprisperioden indtastes her"," ")</f>
        <v xml:space="preserve"> </v>
      </c>
      <c r="E152" s="136"/>
      <c r="F152" s="127">
        <v>46006</v>
      </c>
      <c r="G152" s="137">
        <f>ROUND($E$153+($E$157-$E$153)/3,1)</f>
        <v>0</v>
      </c>
      <c r="H152" s="153">
        <f>(B152*(G152-G$26)/G$26)/30*J152</f>
        <v>0</v>
      </c>
      <c r="I152" s="163" t="b">
        <f t="shared" si="17"/>
        <v>0</v>
      </c>
      <c r="J152" s="56">
        <f t="shared" si="16"/>
        <v>30</v>
      </c>
      <c r="K152" s="56">
        <f t="shared" si="18"/>
        <v>0</v>
      </c>
      <c r="L152" s="56">
        <f t="shared" si="19"/>
        <v>0</v>
      </c>
    </row>
    <row r="153" spans="1:12" s="1" customFormat="1" ht="12.75" x14ac:dyDescent="0.2">
      <c r="A153" s="180"/>
      <c r="B153" s="159"/>
      <c r="C153" s="171"/>
      <c r="D153" s="133" t="s">
        <v>46</v>
      </c>
      <c r="E153" s="134"/>
      <c r="F153" s="127"/>
      <c r="G153" s="132"/>
      <c r="H153" s="153"/>
      <c r="I153" s="163" t="b">
        <f t="shared" si="17"/>
        <v>0</v>
      </c>
      <c r="J153" s="56">
        <f t="shared" si="16"/>
        <v>30</v>
      </c>
      <c r="K153" s="56">
        <f t="shared" si="18"/>
        <v>0</v>
      </c>
      <c r="L153" s="56">
        <f t="shared" si="19"/>
        <v>0</v>
      </c>
    </row>
    <row r="154" spans="1:12" s="1" customFormat="1" ht="12.75" x14ac:dyDescent="0.2">
      <c r="A154" s="179"/>
      <c r="B154" s="158"/>
      <c r="C154" s="171">
        <v>46023</v>
      </c>
      <c r="D154" s="130" t="str">
        <f>IF(I154=TRUE,"Første a'conto efter fastprisperioden indtastes her"," ")</f>
        <v xml:space="preserve"> </v>
      </c>
      <c r="E154" s="136"/>
      <c r="F154" s="127">
        <v>46037</v>
      </c>
      <c r="G154" s="137">
        <f>ROUND($E$153+($E$157-$E$153)/3*2,1)</f>
        <v>0</v>
      </c>
      <c r="H154" s="153">
        <f>(B154*(G154-G$26)/G$26)/30*J154</f>
        <v>0</v>
      </c>
      <c r="I154" s="163" t="b">
        <f t="shared" si="17"/>
        <v>0</v>
      </c>
      <c r="J154" s="56">
        <f t="shared" si="16"/>
        <v>30</v>
      </c>
      <c r="K154" s="56">
        <f t="shared" si="18"/>
        <v>0</v>
      </c>
      <c r="L154" s="56">
        <f t="shared" si="19"/>
        <v>0</v>
      </c>
    </row>
    <row r="155" spans="1:12" s="1" customFormat="1" ht="12.75" x14ac:dyDescent="0.2">
      <c r="A155" s="179"/>
      <c r="B155" s="158"/>
      <c r="C155" s="171">
        <v>46054</v>
      </c>
      <c r="D155" s="130" t="str">
        <f>IF(I155=TRUE,"Første a'conto efter fastprisperioden indtastes her"," ")</f>
        <v xml:space="preserve"> </v>
      </c>
      <c r="E155" s="136"/>
      <c r="F155" s="127">
        <v>46068</v>
      </c>
      <c r="G155" s="137">
        <f>ROUND($E$153+($E$157-$E$153)/3*3,1)</f>
        <v>0</v>
      </c>
      <c r="H155" s="153">
        <f>(B155*(G155-G$26)/G$26)/30*J155</f>
        <v>0</v>
      </c>
      <c r="I155" s="163" t="b">
        <f t="shared" si="17"/>
        <v>0</v>
      </c>
      <c r="J155" s="56">
        <f t="shared" si="16"/>
        <v>30</v>
      </c>
      <c r="K155" s="56">
        <f t="shared" si="18"/>
        <v>0</v>
      </c>
      <c r="L155" s="56">
        <f t="shared" si="19"/>
        <v>0</v>
      </c>
    </row>
    <row r="156" spans="1:12" s="1" customFormat="1" ht="12.75" x14ac:dyDescent="0.2">
      <c r="A156" s="179"/>
      <c r="B156" s="158"/>
      <c r="C156" s="171">
        <v>46082</v>
      </c>
      <c r="D156" s="130" t="str">
        <f>IF(I156=TRUE,"Første a'conto efter fastprisperioden indtastes her"," ")</f>
        <v xml:space="preserve"> </v>
      </c>
      <c r="E156" s="136"/>
      <c r="F156" s="127">
        <v>46096</v>
      </c>
      <c r="G156" s="137">
        <f>ROUND($E$153+($E$157-$E$153)/3*3,1)</f>
        <v>0</v>
      </c>
      <c r="H156" s="153">
        <f>(B156*(G156-G$26)/G$26)/30*J156</f>
        <v>0</v>
      </c>
      <c r="I156" s="163" t="b">
        <f t="shared" si="17"/>
        <v>0</v>
      </c>
      <c r="J156" s="56">
        <f t="shared" si="16"/>
        <v>30</v>
      </c>
      <c r="K156" s="56">
        <f t="shared" si="18"/>
        <v>0</v>
      </c>
      <c r="L156" s="56">
        <f t="shared" si="19"/>
        <v>0</v>
      </c>
    </row>
    <row r="157" spans="1:12" s="1" customFormat="1" ht="12.75" x14ac:dyDescent="0.2">
      <c r="A157" s="96"/>
      <c r="B157" s="159"/>
      <c r="C157" s="171"/>
      <c r="D157" s="133" t="s">
        <v>47</v>
      </c>
      <c r="E157" s="134"/>
      <c r="F157" s="127"/>
      <c r="G157" s="137"/>
      <c r="H157" s="153"/>
      <c r="I157" s="163"/>
      <c r="J157" s="56">
        <f t="shared" si="16"/>
        <v>30</v>
      </c>
      <c r="K157" s="56">
        <f t="shared" si="18"/>
        <v>0</v>
      </c>
      <c r="L157" s="56">
        <f t="shared" si="19"/>
        <v>0</v>
      </c>
    </row>
    <row r="158" spans="1:12" s="1" customFormat="1" ht="12.75" x14ac:dyDescent="0.2">
      <c r="A158" s="138" t="s">
        <v>6</v>
      </c>
      <c r="B158" s="139"/>
      <c r="C158" s="140"/>
      <c r="D158" s="140"/>
      <c r="E158" s="142"/>
      <c r="F158" s="141"/>
      <c r="G158" s="143"/>
      <c r="H158" s="152">
        <f>SUM(H37:H109)</f>
        <v>0</v>
      </c>
      <c r="I158" s="164"/>
    </row>
    <row r="159" spans="1:12" s="1" customFormat="1" ht="12.75" x14ac:dyDescent="0.2">
      <c r="B159" s="7"/>
      <c r="E159" s="8"/>
      <c r="F159" s="3"/>
      <c r="G159" s="8"/>
      <c r="H159" s="3"/>
      <c r="I159" s="9"/>
    </row>
    <row r="160" spans="1:12" s="1" customFormat="1" ht="12.75" x14ac:dyDescent="0.2">
      <c r="B160" s="7"/>
      <c r="F160" s="3"/>
      <c r="G160" s="8"/>
      <c r="H160" s="3"/>
      <c r="I160" s="9"/>
    </row>
    <row r="161" spans="1:9" s="1" customFormat="1" ht="12.75" x14ac:dyDescent="0.2">
      <c r="B161" s="7"/>
      <c r="E161" s="8"/>
      <c r="F161" s="3"/>
      <c r="G161" s="8"/>
      <c r="H161" s="3"/>
      <c r="I161" s="9"/>
    </row>
    <row r="162" spans="1:9" s="1" customFormat="1" ht="12.75" x14ac:dyDescent="0.2">
      <c r="B162" s="7"/>
      <c r="E162" s="8"/>
      <c r="F162" s="3"/>
      <c r="G162" s="8"/>
      <c r="H162" s="3"/>
      <c r="I162" s="9"/>
    </row>
    <row r="163" spans="1:9" s="1" customFormat="1" ht="12.75" x14ac:dyDescent="0.2">
      <c r="B163" s="7"/>
      <c r="E163" s="8"/>
      <c r="F163" s="3"/>
      <c r="G163" s="8"/>
      <c r="H163" s="3"/>
      <c r="I163" s="9"/>
    </row>
    <row r="164" spans="1:9" s="1" customFormat="1" ht="12.75" x14ac:dyDescent="0.2">
      <c r="B164" s="7"/>
      <c r="E164" s="8"/>
      <c r="F164" s="3"/>
      <c r="G164" s="8"/>
      <c r="H164" s="3"/>
      <c r="I164" s="9"/>
    </row>
    <row r="165" spans="1:9" x14ac:dyDescent="0.25">
      <c r="A165" s="1"/>
      <c r="B165" s="7"/>
      <c r="C165" s="1"/>
      <c r="D165" s="1"/>
      <c r="E165" s="8"/>
      <c r="F165" s="3"/>
      <c r="G165" s="8"/>
      <c r="H165" s="3"/>
      <c r="I165" s="9"/>
    </row>
    <row r="166" spans="1:9" x14ac:dyDescent="0.25">
      <c r="A166" s="1"/>
      <c r="B166" s="7"/>
      <c r="C166" s="1"/>
      <c r="D166" s="1"/>
      <c r="E166" s="8"/>
      <c r="F166" s="3"/>
      <c r="G166" s="8"/>
      <c r="H166" s="3"/>
      <c r="I166" s="9"/>
    </row>
    <row r="167" spans="1:9" x14ac:dyDescent="0.25">
      <c r="A167" s="1"/>
      <c r="B167" s="7"/>
      <c r="C167" s="1"/>
      <c r="D167" s="1"/>
      <c r="E167" s="8"/>
      <c r="F167" s="3"/>
      <c r="G167" s="8"/>
      <c r="H167" s="3"/>
      <c r="I167" s="9"/>
    </row>
    <row r="168" spans="1:9" x14ac:dyDescent="0.25">
      <c r="A168" s="1"/>
      <c r="B168" s="7"/>
      <c r="C168" s="1"/>
      <c r="D168" s="1"/>
      <c r="E168" s="8"/>
      <c r="F168" s="3"/>
      <c r="G168" s="8"/>
      <c r="H168" s="3"/>
      <c r="I168" s="9"/>
    </row>
    <row r="169" spans="1:9" x14ac:dyDescent="0.25">
      <c r="A169" s="1"/>
      <c r="B169" s="7"/>
      <c r="C169" s="1"/>
      <c r="D169" s="1"/>
      <c r="E169" s="8"/>
      <c r="F169" s="3"/>
      <c r="G169" s="8"/>
      <c r="H169" s="3"/>
      <c r="I169" s="9"/>
    </row>
    <row r="170" spans="1:9" x14ac:dyDescent="0.25">
      <c r="A170" s="1"/>
      <c r="B170" s="7"/>
      <c r="C170" s="1"/>
      <c r="D170" s="1"/>
      <c r="E170" s="8"/>
      <c r="F170" s="3"/>
      <c r="G170" s="8"/>
      <c r="H170" s="3"/>
      <c r="I170" s="2"/>
    </row>
    <row r="171" spans="1:9" x14ac:dyDescent="0.25">
      <c r="A171" s="1"/>
      <c r="B171" s="7"/>
      <c r="C171" s="1"/>
      <c r="D171" s="1"/>
      <c r="E171" s="8"/>
      <c r="F171" s="3"/>
      <c r="G171" s="8"/>
      <c r="H171" s="2"/>
      <c r="I171" s="2"/>
    </row>
    <row r="172" spans="1:9" x14ac:dyDescent="0.25">
      <c r="B172" s="10"/>
    </row>
  </sheetData>
  <sheetProtection algorithmName="SHA-512" hashValue="Ohf8e/+eGbK5hM3Jhhp6z5WKtYZnNDsf1b1MZ8oB0wJmwdPQz0cQmNuE/jLtx6C6HlrzXyK7s+jw7Lbf0z1/Rg==" saltValue="Z9P1ozplVVhc7dcJgZOMQA==" spinCount="100000" sheet="1" objects="1" scenarios="1"/>
  <protectedRanges>
    <protectedRange sqref="A154:B156 A118:B120 A122:B124 A126:B128 A130:B132 A134:B136 A138:B140 A142:B144 A146:B148 A150:B152" name="Område4"/>
    <protectedRange sqref="B76 A78:B80 A82:B84 A86:B88 A90:B92 A94:B96 A98:B100 A102:B104 A106:B108 A110:B112 A114:B116" name="Område3"/>
    <protectedRange sqref="A38:B40 A42:B44 A46:B48 A50:B52 A54:B56 A58:B60 A62:B64 A66:B68 A76 A70:B72 A74:B75" name="Område2"/>
    <protectedRange sqref="G5 G11 E37 E41 E45 E49 E53 E57 E61 E65 E69 E73 E77 E81 E85 E89 E93 E97 E101 E105 E109 E113 E117 E121 E125 E129 E133 E137 E141 E145 E149 E153 E157" name="Område1"/>
  </protectedRanges>
  <mergeCells count="8">
    <mergeCell ref="A3:H3"/>
    <mergeCell ref="A7:H7"/>
    <mergeCell ref="A4:H4"/>
    <mergeCell ref="F25:G25"/>
    <mergeCell ref="F20:G20"/>
    <mergeCell ref="F18:G18"/>
    <mergeCell ref="F19:G19"/>
    <mergeCell ref="G5:H5"/>
  </mergeCells>
  <conditionalFormatting sqref="C38">
    <cfRule type="expression" priority="61">
      <formula>$C38=#REF!</formula>
    </cfRule>
  </conditionalFormatting>
  <conditionalFormatting sqref="C38">
    <cfRule type="expression" priority="21">
      <formula>$C38=#REF!</formula>
    </cfRule>
  </conditionalFormatting>
  <conditionalFormatting sqref="C39:C47">
    <cfRule type="expression" priority="4">
      <formula>$C39=#REF!</formula>
    </cfRule>
  </conditionalFormatting>
  <conditionalFormatting sqref="C39:C47">
    <cfRule type="expression" priority="3">
      <formula>$C39=#REF!</formula>
    </cfRule>
  </conditionalFormatting>
  <conditionalFormatting sqref="C48:C157">
    <cfRule type="expression" priority="2">
      <formula>$C48=#REF!</formula>
    </cfRule>
  </conditionalFormatting>
  <conditionalFormatting sqref="C48:C157">
    <cfRule type="expression" priority="1">
      <formula>$C48=#REF!</formula>
    </cfRule>
  </conditionalFormatting>
  <hyperlinks>
    <hyperlink ref="A31" r:id="rId1"/>
  </hyperlinks>
  <pageMargins left="0.7" right="0.7" top="0.75" bottom="0.75" header="0.3" footer="0.3"/>
  <pageSetup paperSize="9" scale="19"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9"/>
  <sheetViews>
    <sheetView workbookViewId="0">
      <selection activeCell="C19" sqref="C19"/>
    </sheetView>
  </sheetViews>
  <sheetFormatPr defaultRowHeight="15" x14ac:dyDescent="0.25"/>
  <sheetData>
    <row r="1" spans="1:68" ht="17.25" x14ac:dyDescent="0.3">
      <c r="A1" s="14"/>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row>
    <row r="2" spans="1:68" x14ac:dyDescent="0.25">
      <c r="A2" s="15"/>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row>
    <row r="3" spans="1:68" x14ac:dyDescent="0.25">
      <c r="A3" s="13"/>
      <c r="B3" s="13"/>
      <c r="C3" s="1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4"/>
      <c r="BE3" s="73"/>
      <c r="BF3" s="73"/>
      <c r="BG3" s="73"/>
      <c r="BH3" s="73"/>
      <c r="BI3" s="73"/>
      <c r="BJ3" s="73"/>
      <c r="BK3" s="73"/>
      <c r="BL3" s="73"/>
      <c r="BM3" s="73"/>
      <c r="BN3" s="73"/>
      <c r="BO3" s="73"/>
      <c r="BP3" s="74"/>
    </row>
    <row r="4" spans="1:68" x14ac:dyDescent="0.25">
      <c r="A4" s="13"/>
      <c r="B4" s="13"/>
      <c r="C4" s="13"/>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row>
    <row r="5" spans="1:68" x14ac:dyDescent="0.25">
      <c r="A5" s="13"/>
      <c r="B5" s="13"/>
      <c r="C5" s="13"/>
      <c r="D5" s="19"/>
      <c r="E5" s="21"/>
      <c r="F5" s="19"/>
      <c r="G5" s="20"/>
      <c r="H5" s="21"/>
      <c r="I5" s="19"/>
      <c r="J5" s="20"/>
      <c r="K5" s="21"/>
      <c r="L5" s="19"/>
      <c r="M5" s="20"/>
      <c r="N5" s="21"/>
      <c r="O5" s="19"/>
      <c r="P5" s="20"/>
      <c r="Q5" s="21"/>
      <c r="R5" s="19"/>
      <c r="S5" s="20"/>
      <c r="T5" s="21"/>
      <c r="U5" s="19"/>
      <c r="V5" s="20"/>
      <c r="W5" s="21"/>
      <c r="X5" s="19"/>
      <c r="Y5" s="20"/>
      <c r="Z5" s="21"/>
      <c r="AA5" s="19"/>
      <c r="AB5" s="20"/>
      <c r="AC5" s="21"/>
      <c r="AD5" s="19"/>
      <c r="AE5" s="20"/>
      <c r="AF5" s="21"/>
      <c r="AG5" s="19"/>
      <c r="AH5" s="20"/>
      <c r="AI5" s="21"/>
      <c r="AJ5" s="19"/>
      <c r="AK5" s="20"/>
      <c r="AL5" s="21"/>
      <c r="AM5" s="19"/>
      <c r="AN5" s="20"/>
      <c r="AO5" s="21"/>
      <c r="AP5" s="19"/>
      <c r="AQ5" s="20"/>
      <c r="AR5" s="21"/>
      <c r="AS5" s="19"/>
      <c r="AT5" s="20"/>
      <c r="AU5" s="21"/>
      <c r="AV5" s="19"/>
      <c r="AW5" s="20"/>
      <c r="AX5" s="21"/>
      <c r="AY5" s="19"/>
      <c r="AZ5" s="20"/>
      <c r="BA5" s="21"/>
      <c r="BB5" s="19"/>
      <c r="BC5" s="20"/>
      <c r="BD5" s="31"/>
      <c r="BE5" s="40"/>
      <c r="BF5" s="41"/>
      <c r="BG5" s="49"/>
      <c r="BH5" s="38"/>
      <c r="BI5" s="38"/>
      <c r="BJ5" s="38"/>
      <c r="BK5" s="13"/>
      <c r="BL5" s="13"/>
      <c r="BM5" s="13"/>
      <c r="BN5" s="13"/>
      <c r="BO5" s="13"/>
      <c r="BP5" s="13"/>
    </row>
    <row r="6" spans="1:68" x14ac:dyDescent="0.25">
      <c r="A6" s="16"/>
      <c r="B6" s="16"/>
      <c r="C6" s="16"/>
      <c r="D6" s="33"/>
      <c r="E6" s="24"/>
      <c r="F6" s="22"/>
      <c r="G6" s="34"/>
      <c r="H6" s="24"/>
      <c r="I6" s="22"/>
      <c r="J6" s="34"/>
      <c r="K6" s="24"/>
      <c r="L6" s="22"/>
      <c r="M6" s="34"/>
      <c r="N6" s="24"/>
      <c r="O6" s="22"/>
      <c r="P6" s="34"/>
      <c r="Q6" s="24"/>
      <c r="R6" s="22"/>
      <c r="S6" s="34"/>
      <c r="T6" s="24"/>
      <c r="U6" s="22"/>
      <c r="V6" s="34"/>
      <c r="W6" s="24"/>
      <c r="X6" s="22"/>
      <c r="Y6" s="34"/>
      <c r="Z6" s="24"/>
      <c r="AA6" s="22"/>
      <c r="AB6" s="34"/>
      <c r="AC6" s="24"/>
      <c r="AD6" s="22"/>
      <c r="AE6" s="34"/>
      <c r="AF6" s="24"/>
      <c r="AG6" s="22"/>
      <c r="AH6" s="34"/>
      <c r="AI6" s="24"/>
      <c r="AJ6" s="22"/>
      <c r="AK6" s="34"/>
      <c r="AL6" s="24"/>
      <c r="AM6" s="22"/>
      <c r="AN6" s="34"/>
      <c r="AO6" s="24"/>
      <c r="AP6" s="22"/>
      <c r="AQ6" s="34"/>
      <c r="AR6" s="24"/>
      <c r="AS6" s="22"/>
      <c r="AT6" s="34"/>
      <c r="AU6" s="24"/>
      <c r="AV6" s="22"/>
      <c r="AW6" s="34"/>
      <c r="AX6" s="24"/>
      <c r="AY6" s="22"/>
      <c r="AZ6" s="34"/>
      <c r="BA6" s="24"/>
      <c r="BB6" s="22"/>
      <c r="BC6" s="34"/>
      <c r="BD6" s="24"/>
      <c r="BE6" s="42"/>
      <c r="BF6" s="50"/>
      <c r="BG6" s="42"/>
      <c r="BH6" s="42"/>
      <c r="BI6" s="52"/>
      <c r="BJ6" s="39"/>
      <c r="BK6" s="17"/>
      <c r="BL6" s="17"/>
      <c r="BM6" s="17"/>
      <c r="BN6" s="17"/>
      <c r="BO6" s="17"/>
      <c r="BP6" s="17"/>
    </row>
    <row r="7" spans="1:68" x14ac:dyDescent="0.25">
      <c r="A7" s="17"/>
      <c r="B7" s="17"/>
      <c r="C7" s="16"/>
      <c r="D7" s="22"/>
      <c r="E7" s="24"/>
      <c r="F7" s="22"/>
      <c r="G7" s="23"/>
      <c r="H7" s="24"/>
      <c r="I7" s="22"/>
      <c r="J7" s="23"/>
      <c r="K7" s="24"/>
      <c r="L7" s="22"/>
      <c r="M7" s="23"/>
      <c r="N7" s="24"/>
      <c r="O7" s="22"/>
      <c r="P7" s="23"/>
      <c r="Q7" s="24"/>
      <c r="R7" s="22"/>
      <c r="S7" s="23"/>
      <c r="T7" s="24"/>
      <c r="U7" s="22"/>
      <c r="V7" s="23"/>
      <c r="W7" s="24"/>
      <c r="X7" s="22"/>
      <c r="Y7" s="23"/>
      <c r="Z7" s="24"/>
      <c r="AA7" s="22"/>
      <c r="AB7" s="23"/>
      <c r="AC7" s="24"/>
      <c r="AD7" s="22"/>
      <c r="AE7" s="23"/>
      <c r="AF7" s="24"/>
      <c r="AG7" s="22"/>
      <c r="AH7" s="23"/>
      <c r="AI7" s="24"/>
      <c r="AJ7" s="22"/>
      <c r="AK7" s="23"/>
      <c r="AL7" s="24"/>
      <c r="AM7" s="22"/>
      <c r="AN7" s="23"/>
      <c r="AO7" s="24"/>
      <c r="AP7" s="22"/>
      <c r="AQ7" s="23"/>
      <c r="AR7" s="24"/>
      <c r="AS7" s="22"/>
      <c r="AT7" s="23"/>
      <c r="AU7" s="24"/>
      <c r="AV7" s="22"/>
      <c r="AW7" s="23"/>
      <c r="AX7" s="24"/>
      <c r="AY7" s="22"/>
      <c r="AZ7" s="23"/>
      <c r="BA7" s="24"/>
      <c r="BB7" s="22"/>
      <c r="BC7" s="23"/>
      <c r="BD7" s="27"/>
      <c r="BE7" s="42"/>
      <c r="BF7" s="43"/>
      <c r="BG7" s="46"/>
      <c r="BH7" s="39"/>
      <c r="BI7" s="39"/>
      <c r="BJ7" s="39"/>
      <c r="BK7" s="17"/>
      <c r="BL7" s="17"/>
      <c r="BM7" s="17"/>
      <c r="BN7" s="17"/>
      <c r="BO7" s="17"/>
      <c r="BP7" s="17"/>
    </row>
    <row r="8" spans="1:68" x14ac:dyDescent="0.25">
      <c r="A8" s="17"/>
      <c r="B8" s="17"/>
      <c r="C8" s="16"/>
      <c r="D8" s="22"/>
      <c r="E8" s="24"/>
      <c r="F8" s="22"/>
      <c r="G8" s="23"/>
      <c r="H8" s="24"/>
      <c r="I8" s="22"/>
      <c r="J8" s="23"/>
      <c r="K8" s="24"/>
      <c r="L8" s="22"/>
      <c r="M8" s="23"/>
      <c r="N8" s="24"/>
      <c r="O8" s="22"/>
      <c r="P8" s="23"/>
      <c r="Q8" s="24"/>
      <c r="R8" s="22"/>
      <c r="S8" s="23"/>
      <c r="T8" s="24"/>
      <c r="U8" s="22"/>
      <c r="V8" s="23"/>
      <c r="W8" s="24"/>
      <c r="X8" s="22"/>
      <c r="Y8" s="23"/>
      <c r="Z8" s="24"/>
      <c r="AA8" s="22"/>
      <c r="AB8" s="23"/>
      <c r="AC8" s="24"/>
      <c r="AD8" s="22"/>
      <c r="AE8" s="23"/>
      <c r="AF8" s="24"/>
      <c r="AG8" s="22"/>
      <c r="AH8" s="23"/>
      <c r="AI8" s="24"/>
      <c r="AJ8" s="22"/>
      <c r="AK8" s="23"/>
      <c r="AL8" s="24"/>
      <c r="AM8" s="22"/>
      <c r="AN8" s="23"/>
      <c r="AO8" s="24"/>
      <c r="AP8" s="22"/>
      <c r="AQ8" s="23"/>
      <c r="AR8" s="24"/>
      <c r="AS8" s="22"/>
      <c r="AT8" s="23"/>
      <c r="AU8" s="24"/>
      <c r="AV8" s="22"/>
      <c r="AW8" s="23"/>
      <c r="AX8" s="24"/>
      <c r="AY8" s="22"/>
      <c r="AZ8" s="23"/>
      <c r="BA8" s="24"/>
      <c r="BB8" s="22"/>
      <c r="BC8" s="23"/>
      <c r="BD8" s="27"/>
      <c r="BE8" s="42"/>
      <c r="BF8" s="43"/>
      <c r="BG8" s="46"/>
      <c r="BH8" s="39"/>
      <c r="BI8" s="39"/>
      <c r="BJ8" s="39"/>
      <c r="BK8" s="17"/>
      <c r="BL8" s="17"/>
      <c r="BM8" s="17"/>
      <c r="BN8" s="17"/>
      <c r="BO8" s="17"/>
      <c r="BP8" s="17"/>
    </row>
    <row r="9" spans="1:68" x14ac:dyDescent="0.25">
      <c r="A9" s="17"/>
      <c r="B9" s="16"/>
      <c r="C9" s="16"/>
      <c r="D9" s="22"/>
      <c r="E9" s="24"/>
      <c r="F9" s="22"/>
      <c r="G9" s="23"/>
      <c r="H9" s="24"/>
      <c r="I9" s="22"/>
      <c r="J9" s="23"/>
      <c r="K9" s="24"/>
      <c r="L9" s="22"/>
      <c r="M9" s="23"/>
      <c r="N9" s="24"/>
      <c r="O9" s="22"/>
      <c r="P9" s="23"/>
      <c r="Q9" s="24"/>
      <c r="R9" s="22"/>
      <c r="S9" s="23"/>
      <c r="T9" s="24"/>
      <c r="U9" s="22"/>
      <c r="V9" s="23"/>
      <c r="W9" s="24"/>
      <c r="X9" s="22"/>
      <c r="Y9" s="23"/>
      <c r="Z9" s="24"/>
      <c r="AA9" s="22"/>
      <c r="AB9" s="23"/>
      <c r="AC9" s="24"/>
      <c r="AD9" s="22"/>
      <c r="AE9" s="23"/>
      <c r="AF9" s="24"/>
      <c r="AG9" s="22"/>
      <c r="AH9" s="23"/>
      <c r="AI9" s="24"/>
      <c r="AJ9" s="22"/>
      <c r="AK9" s="23"/>
      <c r="AL9" s="24"/>
      <c r="AM9" s="22"/>
      <c r="AN9" s="23"/>
      <c r="AO9" s="24"/>
      <c r="AP9" s="22"/>
      <c r="AQ9" s="23"/>
      <c r="AR9" s="24"/>
      <c r="AS9" s="22"/>
      <c r="AT9" s="23"/>
      <c r="AU9" s="24"/>
      <c r="AV9" s="22"/>
      <c r="AW9" s="23"/>
      <c r="AX9" s="24"/>
      <c r="AY9" s="22"/>
      <c r="AZ9" s="23"/>
      <c r="BA9" s="24"/>
      <c r="BB9" s="22"/>
      <c r="BC9" s="23"/>
      <c r="BD9" s="27"/>
      <c r="BE9" s="42"/>
      <c r="BF9" s="43"/>
      <c r="BG9" s="46"/>
      <c r="BH9" s="39"/>
      <c r="BI9" s="39"/>
      <c r="BJ9" s="39"/>
      <c r="BK9" s="17"/>
      <c r="BL9" s="17"/>
      <c r="BM9" s="17"/>
      <c r="BN9" s="17"/>
      <c r="BO9" s="17"/>
      <c r="BP9" s="17"/>
    </row>
    <row r="10" spans="1:68" x14ac:dyDescent="0.25">
      <c r="A10" s="17"/>
      <c r="B10" s="17"/>
      <c r="C10" s="16"/>
      <c r="D10" s="22"/>
      <c r="E10" s="24"/>
      <c r="F10" s="22"/>
      <c r="G10" s="23"/>
      <c r="H10" s="24"/>
      <c r="I10" s="22"/>
      <c r="J10" s="23"/>
      <c r="K10" s="24"/>
      <c r="L10" s="22"/>
      <c r="M10" s="23"/>
      <c r="N10" s="24"/>
      <c r="O10" s="22"/>
      <c r="P10" s="23"/>
      <c r="Q10" s="24"/>
      <c r="R10" s="22"/>
      <c r="S10" s="23"/>
      <c r="T10" s="24"/>
      <c r="U10" s="22"/>
      <c r="V10" s="23"/>
      <c r="W10" s="24"/>
      <c r="X10" s="22"/>
      <c r="Y10" s="23"/>
      <c r="Z10" s="24"/>
      <c r="AA10" s="22"/>
      <c r="AB10" s="23"/>
      <c r="AC10" s="24"/>
      <c r="AD10" s="22"/>
      <c r="AE10" s="23"/>
      <c r="AF10" s="24"/>
      <c r="AG10" s="22"/>
      <c r="AH10" s="23"/>
      <c r="AI10" s="24"/>
      <c r="AJ10" s="22"/>
      <c r="AK10" s="23"/>
      <c r="AL10" s="24"/>
      <c r="AM10" s="22"/>
      <c r="AN10" s="23"/>
      <c r="AO10" s="24"/>
      <c r="AP10" s="22"/>
      <c r="AQ10" s="23"/>
      <c r="AR10" s="24"/>
      <c r="AS10" s="22"/>
      <c r="AT10" s="23"/>
      <c r="AU10" s="24"/>
      <c r="AV10" s="22"/>
      <c r="AW10" s="23"/>
      <c r="AX10" s="24"/>
      <c r="AY10" s="22"/>
      <c r="AZ10" s="23"/>
      <c r="BA10" s="24"/>
      <c r="BB10" s="22"/>
      <c r="BC10" s="23"/>
      <c r="BD10" s="27"/>
      <c r="BE10" s="42"/>
      <c r="BF10" s="43"/>
      <c r="BG10" s="46"/>
      <c r="BH10" s="39"/>
      <c r="BI10" s="39"/>
      <c r="BJ10" s="39"/>
      <c r="BK10" s="17"/>
      <c r="BL10" s="17"/>
      <c r="BM10" s="17"/>
      <c r="BN10" s="17"/>
      <c r="BO10" s="17"/>
      <c r="BP10" s="17"/>
    </row>
    <row r="11" spans="1:68" x14ac:dyDescent="0.25">
      <c r="A11" s="17"/>
      <c r="B11" s="17"/>
      <c r="C11" s="16"/>
      <c r="D11" s="22"/>
      <c r="E11" s="24"/>
      <c r="F11" s="22"/>
      <c r="G11" s="23"/>
      <c r="H11" s="24"/>
      <c r="I11" s="22"/>
      <c r="J11" s="23"/>
      <c r="K11" s="24"/>
      <c r="L11" s="22"/>
      <c r="M11" s="23"/>
      <c r="N11" s="24"/>
      <c r="O11" s="22"/>
      <c r="P11" s="23"/>
      <c r="Q11" s="24"/>
      <c r="R11" s="22"/>
      <c r="S11" s="23"/>
      <c r="T11" s="24"/>
      <c r="U11" s="22"/>
      <c r="V11" s="23"/>
      <c r="W11" s="24"/>
      <c r="X11" s="22"/>
      <c r="Y11" s="23"/>
      <c r="Z11" s="24"/>
      <c r="AA11" s="22"/>
      <c r="AB11" s="23"/>
      <c r="AC11" s="24"/>
      <c r="AD11" s="22"/>
      <c r="AE11" s="23"/>
      <c r="AF11" s="24"/>
      <c r="AG11" s="22"/>
      <c r="AH11" s="23"/>
      <c r="AI11" s="24"/>
      <c r="AJ11" s="22"/>
      <c r="AK11" s="23"/>
      <c r="AL11" s="24"/>
      <c r="AM11" s="22"/>
      <c r="AN11" s="23"/>
      <c r="AO11" s="24"/>
      <c r="AP11" s="22"/>
      <c r="AQ11" s="23"/>
      <c r="AR11" s="24"/>
      <c r="AS11" s="22"/>
      <c r="AT11" s="23"/>
      <c r="AU11" s="24"/>
      <c r="AV11" s="22"/>
      <c r="AW11" s="23"/>
      <c r="AX11" s="24"/>
      <c r="AY11" s="22"/>
      <c r="AZ11" s="23"/>
      <c r="BA11" s="24"/>
      <c r="BB11" s="22"/>
      <c r="BC11" s="23"/>
      <c r="BD11" s="27"/>
      <c r="BE11" s="42"/>
      <c r="BF11" s="43"/>
      <c r="BG11" s="46"/>
      <c r="BH11" s="39"/>
      <c r="BI11" s="39"/>
      <c r="BJ11" s="39"/>
      <c r="BK11" s="17"/>
      <c r="BL11" s="17"/>
      <c r="BM11" s="17"/>
      <c r="BN11" s="17"/>
      <c r="BO11" s="17"/>
      <c r="BP11" s="17"/>
    </row>
    <row r="12" spans="1:68" x14ac:dyDescent="0.25">
      <c r="A12" s="17"/>
      <c r="B12" s="16"/>
      <c r="C12" s="16"/>
      <c r="D12" s="22"/>
      <c r="E12" s="24"/>
      <c r="F12" s="22"/>
      <c r="G12" s="23"/>
      <c r="H12" s="24"/>
      <c r="I12" s="22"/>
      <c r="J12" s="23"/>
      <c r="K12" s="24"/>
      <c r="L12" s="22"/>
      <c r="M12" s="23"/>
      <c r="N12" s="24"/>
      <c r="O12" s="22"/>
      <c r="P12" s="23"/>
      <c r="Q12" s="24"/>
      <c r="R12" s="22"/>
      <c r="S12" s="23"/>
      <c r="T12" s="24"/>
      <c r="U12" s="22"/>
      <c r="V12" s="23"/>
      <c r="W12" s="24"/>
      <c r="X12" s="22"/>
      <c r="Y12" s="23"/>
      <c r="Z12" s="24"/>
      <c r="AA12" s="22"/>
      <c r="AB12" s="23"/>
      <c r="AC12" s="24"/>
      <c r="AD12" s="22"/>
      <c r="AE12" s="23"/>
      <c r="AF12" s="24"/>
      <c r="AG12" s="22"/>
      <c r="AH12" s="23"/>
      <c r="AI12" s="24"/>
      <c r="AJ12" s="22"/>
      <c r="AK12" s="23"/>
      <c r="AL12" s="24"/>
      <c r="AM12" s="22"/>
      <c r="AN12" s="23"/>
      <c r="AO12" s="24"/>
      <c r="AP12" s="22"/>
      <c r="AQ12" s="23"/>
      <c r="AR12" s="24"/>
      <c r="AS12" s="22"/>
      <c r="AT12" s="23"/>
      <c r="AU12" s="24"/>
      <c r="AV12" s="22"/>
      <c r="AW12" s="23"/>
      <c r="AX12" s="24"/>
      <c r="AY12" s="22"/>
      <c r="AZ12" s="23"/>
      <c r="BA12" s="24"/>
      <c r="BB12" s="22"/>
      <c r="BC12" s="23"/>
      <c r="BD12" s="27"/>
      <c r="BE12" s="42"/>
      <c r="BF12" s="43"/>
      <c r="BG12" s="46"/>
      <c r="BH12" s="39"/>
      <c r="BI12" s="39"/>
      <c r="BJ12" s="39"/>
      <c r="BK12" s="17"/>
      <c r="BL12" s="17"/>
      <c r="BM12" s="17"/>
      <c r="BN12" s="17"/>
      <c r="BO12" s="17"/>
      <c r="BP12" s="17"/>
    </row>
    <row r="13" spans="1:68" x14ac:dyDescent="0.25">
      <c r="A13" s="17"/>
      <c r="B13" s="17"/>
      <c r="C13" s="16"/>
      <c r="D13" s="22"/>
      <c r="E13" s="24"/>
      <c r="F13" s="22"/>
      <c r="G13" s="23"/>
      <c r="H13" s="24"/>
      <c r="I13" s="22"/>
      <c r="J13" s="23"/>
      <c r="K13" s="24"/>
      <c r="L13" s="22"/>
      <c r="M13" s="23"/>
      <c r="N13" s="24"/>
      <c r="O13" s="22"/>
      <c r="P13" s="23"/>
      <c r="Q13" s="24"/>
      <c r="R13" s="22"/>
      <c r="S13" s="23"/>
      <c r="T13" s="24"/>
      <c r="U13" s="22"/>
      <c r="V13" s="23"/>
      <c r="W13" s="24"/>
      <c r="X13" s="22"/>
      <c r="Y13" s="23"/>
      <c r="Z13" s="24"/>
      <c r="AA13" s="22"/>
      <c r="AB13" s="23"/>
      <c r="AC13" s="24"/>
      <c r="AD13" s="22"/>
      <c r="AE13" s="23"/>
      <c r="AF13" s="24"/>
      <c r="AG13" s="22"/>
      <c r="AH13" s="23"/>
      <c r="AI13" s="24"/>
      <c r="AJ13" s="22"/>
      <c r="AK13" s="23"/>
      <c r="AL13" s="24"/>
      <c r="AM13" s="22"/>
      <c r="AN13" s="23"/>
      <c r="AO13" s="24"/>
      <c r="AP13" s="22"/>
      <c r="AQ13" s="23"/>
      <c r="AR13" s="24"/>
      <c r="AS13" s="22"/>
      <c r="AT13" s="23"/>
      <c r="AU13" s="24"/>
      <c r="AV13" s="22"/>
      <c r="AW13" s="23"/>
      <c r="AX13" s="24"/>
      <c r="AY13" s="22"/>
      <c r="AZ13" s="23"/>
      <c r="BA13" s="24"/>
      <c r="BB13" s="22"/>
      <c r="BC13" s="23"/>
      <c r="BD13" s="27"/>
      <c r="BE13" s="42"/>
      <c r="BF13" s="43"/>
      <c r="BG13" s="46"/>
      <c r="BH13" s="39"/>
      <c r="BI13" s="39"/>
      <c r="BJ13" s="39"/>
      <c r="BK13" s="17"/>
      <c r="BL13" s="17"/>
      <c r="BM13" s="17"/>
      <c r="BN13" s="17"/>
      <c r="BO13" s="17"/>
      <c r="BP13" s="17"/>
    </row>
    <row r="14" spans="1:68" x14ac:dyDescent="0.25">
      <c r="A14" s="17"/>
      <c r="B14" s="17"/>
      <c r="C14" s="16"/>
      <c r="D14" s="22"/>
      <c r="E14" s="24"/>
      <c r="F14" s="22"/>
      <c r="G14" s="23"/>
      <c r="H14" s="24"/>
      <c r="I14" s="22"/>
      <c r="J14" s="23"/>
      <c r="K14" s="24"/>
      <c r="L14" s="22"/>
      <c r="M14" s="23"/>
      <c r="N14" s="24"/>
      <c r="O14" s="22"/>
      <c r="P14" s="23"/>
      <c r="Q14" s="24"/>
      <c r="R14" s="22"/>
      <c r="S14" s="23"/>
      <c r="T14" s="24"/>
      <c r="U14" s="22"/>
      <c r="V14" s="23"/>
      <c r="W14" s="24"/>
      <c r="X14" s="22"/>
      <c r="Y14" s="23"/>
      <c r="Z14" s="24"/>
      <c r="AA14" s="22"/>
      <c r="AB14" s="23"/>
      <c r="AC14" s="24"/>
      <c r="AD14" s="22"/>
      <c r="AE14" s="23"/>
      <c r="AF14" s="24"/>
      <c r="AG14" s="22"/>
      <c r="AH14" s="23"/>
      <c r="AI14" s="24"/>
      <c r="AJ14" s="22"/>
      <c r="AK14" s="23"/>
      <c r="AL14" s="24"/>
      <c r="AM14" s="22"/>
      <c r="AN14" s="23"/>
      <c r="AO14" s="24"/>
      <c r="AP14" s="22"/>
      <c r="AQ14" s="23"/>
      <c r="AR14" s="24"/>
      <c r="AS14" s="22"/>
      <c r="AT14" s="23"/>
      <c r="AU14" s="24"/>
      <c r="AV14" s="22"/>
      <c r="AW14" s="23"/>
      <c r="AX14" s="24"/>
      <c r="AY14" s="22"/>
      <c r="AZ14" s="23"/>
      <c r="BA14" s="24"/>
      <c r="BB14" s="22"/>
      <c r="BC14" s="23"/>
      <c r="BD14" s="27"/>
      <c r="BE14" s="42"/>
      <c r="BF14" s="43"/>
      <c r="BG14" s="46"/>
      <c r="BH14" s="39"/>
      <c r="BI14" s="39"/>
      <c r="BJ14" s="39"/>
      <c r="BK14" s="17"/>
      <c r="BL14" s="17"/>
      <c r="BM14" s="17"/>
      <c r="BN14" s="17"/>
      <c r="BO14" s="17"/>
      <c r="BP14" s="17"/>
    </row>
    <row r="15" spans="1:68" x14ac:dyDescent="0.25">
      <c r="A15" s="17"/>
      <c r="B15" s="17"/>
      <c r="C15" s="17"/>
      <c r="D15" s="25"/>
      <c r="E15" s="27"/>
      <c r="F15" s="25"/>
      <c r="G15" s="26"/>
      <c r="H15" s="27"/>
      <c r="I15" s="25"/>
      <c r="J15" s="26"/>
      <c r="K15" s="27"/>
      <c r="L15" s="25"/>
      <c r="M15" s="26"/>
      <c r="N15" s="27"/>
      <c r="O15" s="25"/>
      <c r="P15" s="26"/>
      <c r="Q15" s="27"/>
      <c r="R15" s="25"/>
      <c r="S15" s="26"/>
      <c r="T15" s="27"/>
      <c r="U15" s="25"/>
      <c r="V15" s="26"/>
      <c r="W15" s="27"/>
      <c r="X15" s="25"/>
      <c r="Y15" s="26"/>
      <c r="Z15" s="27"/>
      <c r="AA15" s="25"/>
      <c r="AB15" s="26"/>
      <c r="AC15" s="27"/>
      <c r="AD15" s="25"/>
      <c r="AE15" s="26"/>
      <c r="AF15" s="27"/>
      <c r="AG15" s="25"/>
      <c r="AH15" s="26"/>
      <c r="AI15" s="27"/>
      <c r="AJ15" s="25"/>
      <c r="AK15" s="26"/>
      <c r="AL15" s="27"/>
      <c r="AM15" s="25"/>
      <c r="AN15" s="26"/>
      <c r="AO15" s="27"/>
      <c r="AP15" s="25"/>
      <c r="AQ15" s="26"/>
      <c r="AR15" s="27"/>
      <c r="AS15" s="25"/>
      <c r="AT15" s="26"/>
      <c r="AU15" s="27"/>
      <c r="AV15" s="25"/>
      <c r="AW15" s="26"/>
      <c r="AX15" s="27"/>
      <c r="AY15" s="25"/>
      <c r="AZ15" s="26"/>
      <c r="BA15" s="27"/>
      <c r="BB15" s="25"/>
      <c r="BC15" s="26"/>
      <c r="BD15" s="27"/>
      <c r="BE15" s="44"/>
      <c r="BF15" s="45"/>
      <c r="BG15" s="46"/>
      <c r="BH15" s="39"/>
      <c r="BI15" s="39"/>
      <c r="BJ15" s="39"/>
      <c r="BK15" s="17"/>
      <c r="BL15" s="17"/>
      <c r="BM15" s="17"/>
      <c r="BN15" s="17"/>
      <c r="BO15" s="17"/>
      <c r="BP15" s="17"/>
    </row>
    <row r="16" spans="1:68" x14ac:dyDescent="0.25">
      <c r="A16" s="18"/>
      <c r="B16" s="17"/>
      <c r="C16" s="17"/>
      <c r="D16" s="28"/>
      <c r="E16" s="30"/>
      <c r="F16" s="28"/>
      <c r="G16" s="29"/>
      <c r="H16" s="30"/>
      <c r="I16" s="28"/>
      <c r="J16" s="29"/>
      <c r="K16" s="30"/>
      <c r="L16" s="28"/>
      <c r="M16" s="29"/>
      <c r="N16" s="30"/>
      <c r="O16" s="28"/>
      <c r="P16" s="29"/>
      <c r="Q16" s="30"/>
      <c r="R16" s="28"/>
      <c r="S16" s="29"/>
      <c r="T16" s="30"/>
      <c r="U16" s="28"/>
      <c r="V16" s="29"/>
      <c r="W16" s="30"/>
      <c r="X16" s="28"/>
      <c r="Y16" s="29"/>
      <c r="Z16" s="30"/>
      <c r="AA16" s="28"/>
      <c r="AB16" s="29"/>
      <c r="AC16" s="30"/>
      <c r="AD16" s="28"/>
      <c r="AE16" s="29"/>
      <c r="AF16" s="30"/>
      <c r="AG16" s="28"/>
      <c r="AH16" s="29"/>
      <c r="AI16" s="30"/>
      <c r="AJ16" s="28"/>
      <c r="AK16" s="29"/>
      <c r="AL16" s="30"/>
      <c r="AM16" s="28"/>
      <c r="AN16" s="29"/>
      <c r="AO16" s="30"/>
      <c r="AP16" s="28"/>
      <c r="AQ16" s="29"/>
      <c r="AR16" s="30"/>
      <c r="AS16" s="28"/>
      <c r="AT16" s="29"/>
      <c r="AU16" s="30"/>
      <c r="AV16" s="28"/>
      <c r="AW16" s="29"/>
      <c r="AX16" s="30"/>
      <c r="AY16" s="28"/>
      <c r="AZ16" s="29"/>
      <c r="BA16" s="30"/>
      <c r="BB16" s="28"/>
      <c r="BC16" s="35"/>
      <c r="BD16" s="30"/>
      <c r="BE16" s="47"/>
      <c r="BF16" s="51"/>
      <c r="BG16" s="48"/>
      <c r="BH16" s="47"/>
      <c r="BI16" s="51"/>
      <c r="BJ16" s="39"/>
      <c r="BK16" s="17"/>
      <c r="BL16" s="17"/>
      <c r="BM16" s="17"/>
      <c r="BN16" s="17"/>
      <c r="BO16" s="17"/>
      <c r="BP16" s="17"/>
    </row>
    <row r="18" spans="21:61" x14ac:dyDescent="0.25">
      <c r="U18" s="32"/>
      <c r="V18" s="13"/>
      <c r="W18" s="13"/>
      <c r="X18" s="13"/>
      <c r="Y18" s="13"/>
      <c r="Z18" s="13"/>
      <c r="AA18" s="13"/>
      <c r="BF18" s="36"/>
    </row>
    <row r="19" spans="21:61" x14ac:dyDescent="0.25">
      <c r="U19" s="13"/>
      <c r="V19" s="13"/>
      <c r="W19" s="13"/>
      <c r="X19" s="13"/>
      <c r="Y19" s="13"/>
      <c r="Z19" s="13"/>
      <c r="AA19" s="32"/>
      <c r="BI19" s="3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5" sqref="E15"/>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Ark1</vt:lpstr>
      <vt:lpstr>Ark2</vt:lpstr>
      <vt:lpstr>Ark3</vt:lpstr>
    </vt:vector>
  </TitlesOfParts>
  <Company>Region Syddanmark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Flemming Kragh Olesen</dc:creator>
  <cp:lastModifiedBy>Brian Jacobsen</cp:lastModifiedBy>
  <cp:lastPrinted>2021-08-27T06:44:07Z</cp:lastPrinted>
  <dcterms:created xsi:type="dcterms:W3CDTF">2019-10-21T12:07:20Z</dcterms:created>
  <dcterms:modified xsi:type="dcterms:W3CDTF">2022-11-30T08:16:29Z</dcterms:modified>
</cp:coreProperties>
</file>